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ad me first" sheetId="1" r:id="rId1"/>
    <sheet name="Inputs" sheetId="2" r:id="rId2"/>
    <sheet name="Outputs" sheetId="3" r:id="rId3"/>
    <sheet name="Calculations" sheetId="4" state="hidden" r:id="rId4"/>
    <sheet name="Sources" sheetId="5" r:id="rId5"/>
  </sheets>
  <definedNames>
    <definedName name="AdminOverhead">'Inputs'!$C$28</definedName>
    <definedName name="BreakEvenMonth">'Calculations'!$O$46</definedName>
    <definedName name="CostDelta">'Calculations'!$O$47</definedName>
    <definedName name="DailyRPEHours">'Inputs'!$C$5</definedName>
    <definedName name="DispDisposalCost">'Inputs'!$C$12</definedName>
    <definedName name="DispMasksPerShift">'Inputs'!$C$11</definedName>
    <definedName name="DispThreeYrPerWorker">'Calculations'!$O$44</definedName>
    <definedName name="DispUnitPrice">'Inputs'!$C$10</definedName>
    <definedName name="FitTestCost">'Inputs'!$C$22</definedName>
    <definedName name="FitTestIntervalMonths">'Inputs'!$C$23</definedName>
    <definedName name="FitTestLostHours">'Inputs'!$C$24</definedName>
    <definedName name="Headcount">'Inputs'!$C$4</definedName>
    <definedName name="HourlyWage">'Inputs'!$C$7</definedName>
    <definedName name="ReuCleaningCost">'Inputs'!$C$19</definedName>
    <definedName name="ReuFilterLifeShifts">'Inputs'!$C$17</definedName>
    <definedName name="ReuFilterPrice">'Inputs'!$C$16</definedName>
    <definedName name="ReuMaskCost">'Inputs'!$C$15</definedName>
    <definedName name="ReuMaskLifetimeYears">'Inputs'!$C$18</definedName>
    <definedName name="ReuThreeYrPerWorker">'Calculations'!$O$45</definedName>
    <definedName name="RiskEventCost">'Inputs'!$C$34</definedName>
    <definedName name="RiskLineOn">'Inputs'!$C$31</definedName>
    <definedName name="RiskProbDisp">'Inputs'!$C$32</definedName>
    <definedName name="RiskProbReu">'Inputs'!$C$33</definedName>
    <definedName name="SurveillanceCost">'Inputs'!$C$27</definedName>
    <definedName name="TenureYears">'Inputs'!$C$26</definedName>
    <definedName name="TrainingCost">'Inputs'!$C$25</definedName>
    <definedName name="WinnerLabel">'Calculations'!$O$48</definedName>
    <definedName name="WorkingDays">'Inputs'!$C$6</definedName>
  </definedNames>
  <calcPr calcId="124519" fullCalcOnLoad="1"/>
</workbook>
</file>

<file path=xl/sharedStrings.xml><?xml version="1.0" encoding="utf-8"?>
<sst xmlns="http://schemas.openxmlformats.org/spreadsheetml/2006/main" count="146" uniqueCount="138">
  <si>
    <t>THE FACE MASK STORE</t>
  </si>
  <si>
    <t>RPE Whole-Life Cost · Companion workbook</t>
  </si>
  <si>
    <t>READ ME FIRST</t>
  </si>
  <si>
    <t>RPE Whole-Life Cost Calculator</t>
  </si>
  <si>
    <t>Compare the true three-year cost of disposable and reusable RPE for your UK workforce.</t>
  </si>
  <si>
    <t>This workbook ships with the Inputs sheet pre-filled with UK-typical defaults from BSIF, HSE, and public-sector framework pricing. Adjust the inputs to match your programme. The Outputs sheet updates automatically.</t>
  </si>
  <si>
    <t>HOW TO USE</t>
  </si>
  <si>
    <t>01   Open the Inputs sheet.   Adjust values to match your workforce and current programme.</t>
  </si>
  <si>
    <t>02   Read the Outputs sheet.   The headline number is three-year cost per worker for each scenario.</t>
  </si>
  <si>
    <t>03   Read the companion PDF guide.   Context on the five hidden cost categories and the risk-adjusted line.</t>
  </si>
  <si>
    <t>METHODOLOGY NOTE</t>
  </si>
  <si>
    <t>The calculator does not discount future costs to present value. Over a three-year horizon this overstates the absolute total slightly but does not change which scenario wins. For longer-horizon decisions, factor in your own discount rate separately.</t>
  </si>
  <si>
    <t>WHAT IS LOCKED</t>
  </si>
  <si>
    <t>Inputs is unlocked — type in the cyan cells. Outputs is locked to protect the formulas. The Calculations sheet is hidden by default — right-click any sheet tab and choose Unhide → Calculations if you want to audit the maths. Password is "tfms" on the locked sheets.</t>
  </si>
  <si>
    <t>The Face Mask Store · thefacemaskstore.app/rpe-calculator · info@thefacemaskstore.co.uk</t>
  </si>
  <si>
    <t>v1.0 · May 2026</t>
  </si>
  <si>
    <t>INPUTS · adjust to your programme</t>
  </si>
  <si>
    <t>Type in the cells highlighted in cyan. The Outputs sheet updates automatically.</t>
  </si>
  <si>
    <t>YOUR WORKFORCE</t>
  </si>
  <si>
    <t>Number of wearers using RPE regularly</t>
  </si>
  <si>
    <t>Count of staff for whom RPE is part of routine PPE.</t>
  </si>
  <si>
    <t>Daily RPE wear hours per wearer (average)</t>
  </si>
  <si>
    <t>Hours per shift the wearer is in RPE.</t>
  </si>
  <si>
    <t>Working days per year</t>
  </si>
  <si>
    <t>UK typical, excluding holidays and absence.</t>
  </si>
  <si>
    <t>Wearer fully-loaded hourly cost</t>
  </si>
  <si>
    <t>Used to value lost productivity during fit-tests.</t>
  </si>
  <si>
    <t>DISPOSABLE SCENARIO</t>
  </si>
  <si>
    <t>Unit price</t>
  </si>
  <si>
    <t>Enter your current invoiced price per mask.</t>
  </si>
  <si>
    <t>Masks per shift per wearer</t>
  </si>
  <si>
    <t>HSE guidance treats disposables as single-shift.</t>
  </si>
  <si>
    <t>Disposal cost per mask</t>
  </si>
  <si>
    <t>Optional, leave at 0 if not separately tracked.</t>
  </si>
  <si>
    <t>REUSABLE SCENARIO</t>
  </si>
  <si>
    <t>Initial mask cost</t>
  </si>
  <si>
    <t>Body unit only — filters costed separately.</t>
  </si>
  <si>
    <t>Filter unit price</t>
  </si>
  <si>
    <t>Per pair, P3 class typical.</t>
  </si>
  <si>
    <t>Filter life (shifts)</t>
  </si>
  <si>
    <t>Typical UK range 5–20 depending on environment.</t>
  </si>
  <si>
    <t>Expected mask lifetime (years)</t>
  </si>
  <si>
    <t>Range typically 2–5 years.</t>
  </si>
  <si>
    <t>Cleaning and storage cost / worker / year</t>
  </si>
  <si>
    <t>Annual per-worker cleaning, sanitising, and storage.</t>
  </si>
  <si>
    <t>COMMON PROGRAMME COSTS</t>
  </si>
  <si>
    <t>Fit-test cost per test</t>
  </si>
  <si>
    <t>Typical UK range £60–£120.</t>
  </si>
  <si>
    <t>Fit-test interval (months)</t>
  </si>
  <si>
    <t>HSG53 requires re-test on change of conditions; 24 months is industry-typical.</t>
  </si>
  <si>
    <t>Fit-test lost productivity per worker per test (hours)</t>
  </si>
  <si>
    <t>Hours of paid productivity per fit-test.</t>
  </si>
  <si>
    <t>Initial training cost per worker</t>
  </si>
  <si>
    <t>One-off training event; amortised over the tenure below.</t>
  </si>
  <si>
    <t>Expected worker tenure (years)</t>
  </si>
  <si>
    <t>Tenure &lt; 3 yrs means training repeats within the 3-year horizon.</t>
  </si>
  <si>
    <t>Annual health surveillance cost per worker</t>
  </si>
  <si>
    <t>Where respirable hazard present per COSHH.</t>
  </si>
  <si>
    <t>Programme admin overhead (%)</t>
  </si>
  <si>
    <t>Records, reviews, supplier mgmt, audit prep. Typical 8–12%.</t>
  </si>
  <si>
    <t>RISK-ADJUSTED LINE (OPTIONAL)</t>
  </si>
  <si>
    <t>Include risk-adjusted compliance cost?</t>
  </si>
  <si>
    <t>OFF</t>
  </si>
  <si>
    <t>OFF by default. See companion PDF page 5 before turning ON.</t>
  </si>
  <si>
    <t>Probability of compliance failure / year — disposable</t>
  </si>
  <si>
    <t>Conservative; BSIF 2025 supplier testing informs default.</t>
  </si>
  <si>
    <t>Probability of compliance failure / year — reusable</t>
  </si>
  <si>
    <t>Adjust based on supplier scenario.</t>
  </si>
  <si>
    <t>Expected cost of a compliance failure event</t>
  </si>
  <si>
    <t>Median UK HSE prosecution outcome, respirable-hazard. Public data.</t>
  </si>
  <si>
    <t>Defaults are UK-typical. Adjust to your programme. The cells highlighted in cyan are the only ones you can edit. DailyRPEHours above is informational only — it does not feed cost formulas in this version.</t>
  </si>
  <si>
    <t>OUTPUTS · live</t>
  </si>
  <si>
    <t>Three-year cost per worker</t>
  </si>
  <si>
    <t>BREAK-EVEN</t>
  </si>
  <si>
    <t>3-year programme cost · per worker</t>
  </si>
  <si>
    <t>PROGRAMME TOTAL · 3 years · across your full headcount</t>
  </si>
  <si>
    <t>CHART 1 · CUMULATIVE COST OVER 36 MONTHS</t>
  </si>
  <si>
    <t>CHART 2 · COST BREAKDOWN · 3-YR TOTALS</t>
  </si>
  <si>
    <t>WHAT CHANGES THE ANSWER · auto-generated</t>
  </si>
  <si>
    <t>The Face Mask Store · thefacemaskstore.app/rpe-calculator</t>
  </si>
  <si>
    <t>CALCULATIONS · locked</t>
  </si>
  <si>
    <t>This sheet is protected. Adjustments belong on the Inputs sheet. Password "tfms" if you must audit.</t>
  </si>
  <si>
    <t>Month</t>
  </si>
  <si>
    <t>Disposable £ cum.</t>
  </si>
  <si>
    <t>Reusable £ cum.</t>
  </si>
  <si>
    <t>Disp − Reu</t>
  </si>
  <si>
    <t>Reu wins?</t>
  </si>
  <si>
    <t>Scenario</t>
  </si>
  <si>
    <t>RPE direct</t>
  </si>
  <si>
    <t>Fit-test</t>
  </si>
  <si>
    <t>Training</t>
  </si>
  <si>
    <t>Surveillance</t>
  </si>
  <si>
    <t>Admin</t>
  </si>
  <si>
    <t>Risk-adj</t>
  </si>
  <si>
    <t>Disposable</t>
  </si>
  <si>
    <t>Reusable</t>
  </si>
  <si>
    <t>TOTALS · 3-YR PER WORKER</t>
  </si>
  <si>
    <t>Disposable (£/worker)</t>
  </si>
  <si>
    <t>Reusable (£/worker)</t>
  </si>
  <si>
    <t>Break-even month</t>
  </si>
  <si>
    <t>Cost delta (Disp − Reu, £/worker)</t>
  </si>
  <si>
    <t>Winner label</t>
  </si>
  <si>
    <t>Notes: Break-even searches column F for first "yes" (Reusable cumulative ≤ Disposable) and subtracts 1 because month 0 lives on row 5. Returns 37 if reusable never wins within the 36-month horizon. All formulas reference named ranges from the Inputs sheet, so logic stays readable.</t>
  </si>
  <si>
    <t>SOURCES</t>
  </si>
  <si>
    <t>Where the default numbers come from.</t>
  </si>
  <si>
    <t>BSIF</t>
  </si>
  <si>
    <t>Registered Safety Supplier scheme · 2025 testing programme</t>
  </si>
  <si>
    <t>HSE</t>
  </si>
  <si>
    <t>Prosecution register · public data</t>
  </si>
  <si>
    <t>HSG53</t>
  </si>
  <si>
    <t>Respiratory Protective Equipment at Work</t>
  </si>
  <si>
    <t>BOHS</t>
  </si>
  <si>
    <t>Annals of Work Exposures and Health</t>
  </si>
  <si>
    <t>NHS SC / CCS</t>
  </si>
  <si>
    <t>Supply Chain &amp; Crown Commercial framework pricing</t>
  </si>
  <si>
    <t>SHP Online</t>
  </si>
  <si>
    <t>Industry survey data — respirator programme costs</t>
  </si>
  <si>
    <t>IOSH Magazine</t>
  </si>
  <si>
    <t>Practitioner reporting on RPE programme economics</t>
  </si>
  <si>
    <t>CAVEATS</t>
  </si>
  <si>
    <t>01</t>
  </si>
  <si>
    <t>All figures in GBP. UK-only defaults.</t>
  </si>
  <si>
    <t>02</t>
  </si>
  <si>
    <t>No NPV discounting over the three-year horizon. At typical UK discount rates the qualitative comparison does not change, but absolute totals read slightly high.</t>
  </si>
  <si>
    <t>03</t>
  </si>
  <si>
    <t>Multi-hazard environments may need separate calculations.</t>
  </si>
  <si>
    <t>04</t>
  </si>
  <si>
    <t>This tool is a planning aid, not a legal compliance assessment. Where in doubt, consult a qualified occupational hygienist.</t>
  </si>
  <si>
    <t>METHODOLOGY</t>
  </si>
  <si>
    <t>Disposable RPE</t>
  </si>
  <si>
    <t>Single-shift per HSE guidance. Three-year cost = WorkingDays × 3 × MasksPerShift × (UnitPrice + DisposalCost).</t>
  </si>
  <si>
    <t>Reusable RPE</t>
  </si>
  <si>
    <t>Mask body amortised over its lifetime. Filters replaced every N shifts. Cleaning &amp; storage applied annually per worker.</t>
  </si>
  <si>
    <t>ROUNDUP(36 / interval) tests over 3 years. Lost productivity valued at fully-loaded hourly cost.</t>
  </si>
  <si>
    <t>Admin overhead</t>
  </si>
  <si>
    <t>Applied as a percentage of direct programme cost (RPE + fit-test + training + surveillance).</t>
  </si>
  <si>
    <t>Risk-adjusted line</t>
  </si>
  <si>
    <t>OFF by default. When ON, adds Probability × EventCost × 3 to each scenario. See companion PDF page 5.</t>
  </si>
</sst>
</file>

<file path=xl/styles.xml><?xml version="1.0" encoding="utf-8"?>
<styleSheet xmlns="http://schemas.openxmlformats.org/spreadsheetml/2006/main">
  <numFmts count="6">
    <numFmt numFmtId="164" formatCode="#,##0"/>
    <numFmt numFmtId="165" formatCode="#,##0.00"/>
    <numFmt numFmtId="166" formatCode="&quot;£&quot;#,##0.00"/>
    <numFmt numFmtId="167" formatCode="0.0%"/>
    <numFmt numFmtId="168" formatCode="@"/>
    <numFmt numFmtId="169" formatCode="&quot;£&quot;#,##0"/>
  </numFmts>
  <fonts count="32">
    <font>
      <sz val="11"/>
      <color theme="1"/>
      <name val="Calibri"/>
      <family val="2"/>
      <scheme val="minor"/>
    </font>
    <font>
      <b/>
      <sz val="11"/>
      <color rgb="FFF7F8F5"/>
      <name val="Calibri"/>
      <family val="2"/>
      <scheme val="minor"/>
    </font>
    <font>
      <b/>
      <sz val="10"/>
      <color rgb="FF9EE7F4"/>
      <name val="Calibri"/>
      <family val="2"/>
      <scheme val="minor"/>
    </font>
    <font>
      <b/>
      <sz val="9"/>
      <color rgb="FF0891B2"/>
      <name val="Calibri"/>
      <family val="2"/>
      <scheme val="minor"/>
    </font>
    <font>
      <b/>
      <sz val="22"/>
      <color rgb="FF12202F"/>
      <name val="Calibri"/>
      <family val="2"/>
      <scheme val="minor"/>
    </font>
    <font>
      <sz val="13"/>
      <color rgb="FF5D6B7A"/>
      <name val="Calibri"/>
      <family val="2"/>
      <scheme val="minor"/>
    </font>
    <font>
      <sz val="11"/>
      <color rgb="FF12202F"/>
      <name val="Calibri"/>
      <family val="2"/>
      <scheme val="minor"/>
    </font>
    <font>
      <sz val="10"/>
      <color rgb="FF5D6B7A"/>
      <name val="Calibri"/>
      <family val="2"/>
      <scheme val="minor"/>
    </font>
    <font>
      <sz val="9"/>
      <color rgb="FF5D6B7A"/>
      <name val="Calibri"/>
      <family val="2"/>
      <scheme val="minor"/>
    </font>
    <font>
      <b/>
      <sz val="11"/>
      <color rgb="FF0E7490"/>
      <name val="Calibri"/>
      <family val="2"/>
      <scheme val="minor"/>
    </font>
    <font>
      <sz val="10.5"/>
      <color rgb="FF12202F"/>
      <name val="Calibri"/>
      <family val="2"/>
      <scheme val="minor"/>
    </font>
    <font>
      <b/>
      <sz val="10.5"/>
      <color rgb="FF0E7490"/>
      <name val="Courier New"/>
      <family val="2"/>
    </font>
    <font>
      <sz val="9.5"/>
      <color rgb="FF5D6B7A"/>
      <name val="Calibri"/>
      <family val="2"/>
      <scheme val="minor"/>
    </font>
    <font>
      <sz val="12"/>
      <color rgb="FF5D6B7A"/>
      <name val="Calibri"/>
      <family val="2"/>
      <scheme val="minor"/>
    </font>
    <font>
      <b/>
      <sz val="9"/>
      <color rgb="FF5D6B7A"/>
      <name val="Calibri"/>
      <family val="2"/>
      <scheme val="minor"/>
    </font>
    <font>
      <b/>
      <sz val="9"/>
      <color rgb="FF0E7490"/>
      <name val="Calibri"/>
      <family val="2"/>
      <scheme val="minor"/>
    </font>
    <font>
      <b/>
      <sz val="9"/>
      <color rgb="FF7FCDE0"/>
      <name val="Calibri"/>
      <family val="2"/>
      <scheme val="minor"/>
    </font>
    <font>
      <b/>
      <sz val="26"/>
      <color rgb="FF12202F"/>
      <name val="Calibri"/>
      <family val="2"/>
      <scheme val="minor"/>
    </font>
    <font>
      <b/>
      <sz val="26"/>
      <color rgb="FF0E7490"/>
      <name val="Calibri"/>
      <family val="2"/>
      <scheme val="minor"/>
    </font>
    <font>
      <b/>
      <sz val="26"/>
      <color rgb="FFFFFFFF"/>
      <name val="Calibri"/>
      <family val="2"/>
      <scheme val="minor"/>
    </font>
    <font>
      <sz val="9.5"/>
      <color rgb="FF5D6B7A"/>
      <name val="Calibri"/>
      <family val="2"/>
      <scheme val="minor"/>
    </font>
    <font>
      <sz val="9.5"/>
      <color rgb="FF0E7490"/>
      <name val="Calibri"/>
      <family val="2"/>
      <scheme val="minor"/>
    </font>
    <font>
      <sz val="9.5"/>
      <color rgb="FFA8C4D4"/>
      <name val="Calibri"/>
      <family val="2"/>
      <scheme val="minor"/>
    </font>
    <font>
      <b/>
      <sz val="12"/>
      <color rgb="FF12202F"/>
      <name val="Calibri"/>
      <family val="2"/>
      <scheme val="minor"/>
    </font>
    <font>
      <sz val="10"/>
      <color rgb="FF12202F"/>
      <name val="Calibri"/>
      <family val="2"/>
      <scheme val="minor"/>
    </font>
    <font>
      <b/>
      <sz val="9.5"/>
      <color rgb="FF0E7490"/>
      <name val="Calibri"/>
      <family val="2"/>
      <scheme val="minor"/>
    </font>
    <font>
      <sz val="10"/>
      <color rgb="FF5D6B7A"/>
      <name val="Courier New"/>
      <family val="2"/>
    </font>
    <font>
      <sz val="10"/>
      <color rgb="FF12202F"/>
      <name val="Courier New"/>
      <family val="2"/>
    </font>
    <font>
      <b/>
      <sz val="11"/>
      <color rgb="FF12202F"/>
      <name val="Courier New"/>
      <family val="2"/>
    </font>
    <font>
      <b/>
      <sz val="11"/>
      <color rgb="FF12202F"/>
      <name val="Calibri"/>
      <family val="2"/>
      <scheme val="minor"/>
    </font>
    <font>
      <b/>
      <sz val="10.5"/>
      <color rgb="FF12202F"/>
      <name val="Calibri"/>
      <family val="2"/>
      <scheme val="minor"/>
    </font>
    <font>
      <sz val="10.5"/>
      <color rgb="FF5D6B7A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71525"/>
        <bgColor indexed="64"/>
      </patternFill>
    </fill>
    <fill>
      <patternFill patternType="solid">
        <fgColor rgb="FFE6F4F8"/>
        <bgColor indexed="64"/>
      </patternFill>
    </fill>
    <fill>
      <patternFill patternType="solid">
        <fgColor rgb="FFF4FAFC"/>
        <bgColor indexed="64"/>
      </patternFill>
    </fill>
    <fill>
      <patternFill patternType="solid">
        <fgColor rgb="FFFBFBF9"/>
        <bgColor indexed="64"/>
      </patternFill>
    </fill>
    <fill>
      <patternFill patternType="solid">
        <fgColor rgb="FFF7F8F5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rgb="FF0891B2"/>
      </top>
      <bottom/>
      <diagonal/>
    </border>
    <border>
      <left/>
      <right/>
      <top/>
      <bottom style="thin">
        <color rgb="FFDBE3E8"/>
      </bottom>
      <diagonal/>
    </border>
    <border>
      <left/>
      <right/>
      <top style="thin">
        <color rgb="FFDBE3E8"/>
      </top>
      <bottom style="thin">
        <color rgb="FFDBE3E8"/>
      </bottom>
      <diagonal/>
    </border>
    <border>
      <left style="medium">
        <color rgb="FF0891B2"/>
      </left>
      <right style="medium">
        <color rgb="FF0891B2"/>
      </right>
      <top style="medium">
        <color rgb="FF0891B2"/>
      </top>
      <bottom style="medium">
        <color rgb="FF0891B2"/>
      </bottom>
      <diagonal/>
    </border>
    <border>
      <left style="thin">
        <color rgb="FFDBE3E8"/>
      </left>
      <right style="thin">
        <color rgb="FFDBE3E8"/>
      </right>
      <top style="thin">
        <color rgb="FFDBE3E8"/>
      </top>
      <bottom/>
      <diagonal/>
    </border>
    <border>
      <left style="thin">
        <color rgb="FF0891B2"/>
      </left>
      <right style="thin">
        <color rgb="FF0891B2"/>
      </right>
      <top style="thin">
        <color rgb="FF0891B2"/>
      </top>
      <bottom/>
      <diagonal/>
    </border>
    <border>
      <left style="thin">
        <color rgb="FF071525"/>
      </left>
      <right style="thin">
        <color rgb="FF071525"/>
      </right>
      <top style="thin">
        <color rgb="FF071525"/>
      </top>
      <bottom/>
      <diagonal/>
    </border>
    <border>
      <left style="thin">
        <color rgb="FFDBE3E8"/>
      </left>
      <right style="thin">
        <color rgb="FFDBE3E8"/>
      </right>
      <top/>
      <bottom/>
      <diagonal/>
    </border>
    <border>
      <left style="thin">
        <color rgb="FF0891B2"/>
      </left>
      <right style="thin">
        <color rgb="FF0891B2"/>
      </right>
      <top/>
      <bottom/>
      <diagonal/>
    </border>
    <border>
      <left style="thin">
        <color rgb="FF071525"/>
      </left>
      <right style="thin">
        <color rgb="FF071525"/>
      </right>
      <top/>
      <bottom/>
      <diagonal/>
    </border>
    <border>
      <left style="thin">
        <color rgb="FFDBE3E8"/>
      </left>
      <right style="thin">
        <color rgb="FFDBE3E8"/>
      </right>
      <top/>
      <bottom style="thin">
        <color rgb="FFDBE3E8"/>
      </bottom>
      <diagonal/>
    </border>
    <border>
      <left style="thin">
        <color rgb="FF0891B2"/>
      </left>
      <right style="thin">
        <color rgb="FF0891B2"/>
      </right>
      <top/>
      <bottom style="thin">
        <color rgb="FF0891B2"/>
      </bottom>
      <diagonal/>
    </border>
    <border>
      <left style="thin">
        <color rgb="FF071525"/>
      </left>
      <right style="thin">
        <color rgb="FF071525"/>
      </right>
      <top/>
      <bottom style="thin">
        <color rgb="FF071525"/>
      </bottom>
      <diagonal/>
    </border>
    <border>
      <left/>
      <right/>
      <top style="thin">
        <color rgb="FF0891B2"/>
      </top>
      <bottom style="thin">
        <color rgb="FF0891B2"/>
      </bottom>
      <diagonal/>
    </border>
    <border>
      <left style="thick">
        <color rgb="FF0891B2"/>
      </left>
      <right style="thin">
        <color rgb="FFDBE3E8"/>
      </right>
      <top style="thin">
        <color rgb="FFDBE3E8"/>
      </top>
      <bottom style="thin">
        <color rgb="FFDBE3E8"/>
      </bottom>
      <diagonal/>
    </border>
    <border>
      <left/>
      <right style="thin">
        <color rgb="FFDBE3E8"/>
      </right>
      <top/>
      <bottom style="thin">
        <color rgb="FFDBE3E8"/>
      </bottom>
      <diagonal/>
    </border>
    <border>
      <left/>
      <right style="thin">
        <color rgb="FF0891B2"/>
      </right>
      <top style="thin">
        <color rgb="FF0891B2"/>
      </top>
      <bottom style="thin">
        <color rgb="FF0891B2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left" vertical="center" indent="7"/>
    </xf>
    <xf numFmtId="0" fontId="2" fillId="2" borderId="0" xfId="0" applyFont="1" applyFill="1" applyAlignment="1">
      <alignment horizontal="right" vertical="center" inden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left"/>
    </xf>
    <xf numFmtId="0" fontId="9" fillId="3" borderId="3" xfId="0" applyFont="1" applyFill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164" fontId="11" fillId="4" borderId="4" xfId="0" applyNumberFormat="1" applyFont="1" applyFill="1" applyBorder="1" applyAlignment="1" applyProtection="1">
      <alignment horizontal="right" vertical="center"/>
      <protection locked="0"/>
    </xf>
    <xf numFmtId="0" fontId="12" fillId="0" borderId="2" xfId="0" applyFont="1" applyBorder="1" applyAlignment="1">
      <alignment horizontal="left" vertical="center" indent="1" wrapText="1"/>
    </xf>
    <xf numFmtId="165" fontId="11" fillId="4" borderId="4" xfId="0" applyNumberFormat="1" applyFont="1" applyFill="1" applyBorder="1" applyAlignment="1" applyProtection="1">
      <alignment horizontal="right" vertical="center"/>
      <protection locked="0"/>
    </xf>
    <xf numFmtId="166" fontId="11" fillId="4" borderId="4" xfId="0" applyNumberFormat="1" applyFont="1" applyFill="1" applyBorder="1" applyAlignment="1" applyProtection="1">
      <alignment horizontal="right" vertical="center"/>
      <protection locked="0"/>
    </xf>
    <xf numFmtId="167" fontId="11" fillId="4" borderId="4" xfId="0" applyNumberFormat="1" applyFont="1" applyFill="1" applyBorder="1" applyAlignment="1" applyProtection="1">
      <alignment horizontal="right" vertical="center"/>
      <protection locked="0"/>
    </xf>
    <xf numFmtId="168" fontId="11" fillId="4" borderId="4" xfId="0" applyNumberFormat="1" applyFont="1" applyFill="1" applyBorder="1" applyAlignment="1" applyProtection="1">
      <alignment horizontal="center" vertical="center"/>
      <protection locked="0"/>
    </xf>
    <xf numFmtId="169" fontId="11" fillId="4" borderId="4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  <xf numFmtId="0" fontId="14" fillId="5" borderId="5" xfId="0" applyFont="1" applyFill="1" applyBorder="1" applyAlignment="1">
      <alignment horizontal="left" vertical="center" indent="1"/>
    </xf>
    <xf numFmtId="0" fontId="15" fillId="3" borderId="6" xfId="0" applyFont="1" applyFill="1" applyBorder="1" applyAlignment="1">
      <alignment horizontal="left" vertical="center" indent="1"/>
    </xf>
    <xf numFmtId="0" fontId="16" fillId="2" borderId="7" xfId="0" applyFont="1" applyFill="1" applyBorder="1" applyAlignment="1">
      <alignment horizontal="left" vertical="center" indent="1"/>
    </xf>
    <xf numFmtId="166" fontId="17" fillId="5" borderId="8" xfId="0" applyNumberFormat="1" applyFont="1" applyFill="1" applyBorder="1" applyAlignment="1">
      <alignment horizontal="left" vertical="center" indent="1"/>
    </xf>
    <xf numFmtId="166" fontId="18" fillId="3" borderId="9" xfId="0" applyNumberFormat="1" applyFont="1" applyFill="1" applyBorder="1" applyAlignment="1">
      <alignment horizontal="left" vertical="center" indent="1"/>
    </xf>
    <xf numFmtId="0" fontId="19" fillId="2" borderId="10" xfId="0" applyFont="1" applyFill="1" applyBorder="1" applyAlignment="1">
      <alignment horizontal="left" vertical="center" indent="1"/>
    </xf>
    <xf numFmtId="0" fontId="20" fillId="5" borderId="11" xfId="0" applyFont="1" applyFill="1" applyBorder="1" applyAlignment="1">
      <alignment horizontal="left" vertical="center" indent="1"/>
    </xf>
    <xf numFmtId="0" fontId="21" fillId="3" borderId="12" xfId="0" applyFont="1" applyFill="1" applyBorder="1" applyAlignment="1">
      <alignment horizontal="left" vertical="center" indent="1"/>
    </xf>
    <xf numFmtId="0" fontId="22" fillId="2" borderId="13" xfId="0" applyFont="1" applyFill="1" applyBorder="1" applyAlignment="1">
      <alignment horizontal="left" vertical="center" indent="1"/>
    </xf>
    <xf numFmtId="0" fontId="23" fillId="4" borderId="14" xfId="0" applyFont="1" applyFill="1" applyBorder="1" applyAlignment="1">
      <alignment horizontal="center" vertical="center"/>
    </xf>
    <xf numFmtId="169" fontId="19" fillId="2" borderId="10" xfId="0" applyNumberFormat="1" applyFont="1" applyFill="1" applyBorder="1" applyAlignment="1">
      <alignment horizontal="left" vertical="center" indent="1"/>
    </xf>
    <xf numFmtId="0" fontId="24" fillId="5" borderId="15" xfId="0" applyFont="1" applyFill="1" applyBorder="1" applyAlignment="1">
      <alignment horizontal="left" vertical="center" indent="1" wrapText="1"/>
    </xf>
    <xf numFmtId="0" fontId="8" fillId="0" borderId="0" xfId="0" applyFont="1" applyAlignment="1">
      <alignment horizontal="right"/>
    </xf>
    <xf numFmtId="0" fontId="25" fillId="3" borderId="3" xfId="0" applyFont="1" applyFill="1" applyBorder="1" applyAlignment="1">
      <alignment horizontal="center" vertical="center"/>
    </xf>
    <xf numFmtId="1" fontId="26" fillId="6" borderId="16" xfId="0" applyNumberFormat="1" applyFont="1" applyFill="1" applyBorder="1" applyAlignment="1">
      <alignment horizontal="center" vertical="center"/>
    </xf>
    <xf numFmtId="166" fontId="27" fillId="0" borderId="16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indent="1"/>
    </xf>
    <xf numFmtId="166" fontId="28" fillId="5" borderId="17" xfId="0" applyNumberFormat="1" applyFont="1" applyFill="1" applyBorder="1" applyAlignment="1">
      <alignment horizontal="right" vertical="center"/>
    </xf>
    <xf numFmtId="1" fontId="28" fillId="5" borderId="17" xfId="0" applyNumberFormat="1" applyFont="1" applyFill="1" applyBorder="1" applyAlignment="1">
      <alignment horizontal="right" vertical="center"/>
    </xf>
    <xf numFmtId="0" fontId="29" fillId="5" borderId="17" xfId="0" applyFont="1" applyFill="1" applyBorder="1" applyAlignment="1">
      <alignment horizontal="right" vertical="center" indent="1"/>
    </xf>
    <xf numFmtId="0" fontId="30" fillId="0" borderId="2" xfId="0" applyFont="1" applyBorder="1" applyAlignment="1">
      <alignment vertical="top" indent="1"/>
    </xf>
    <xf numFmtId="0" fontId="31" fillId="0" borderId="2" xfId="0" applyFont="1" applyBorder="1" applyAlignment="1">
      <alignment vertical="top" wrapText="1"/>
    </xf>
  </cellXfs>
  <cellStyles count="1">
    <cellStyle name="Normal" xfId="0" builtinId="0"/>
  </cellStyles>
  <dxfs count="6">
    <dxf>
      <font>
        <b/>
        <color rgb="FF0E7490"/>
      </font>
      <fill>
        <patternFill>
          <bgColor rgb="FFE6F4F8"/>
        </patternFill>
      </fill>
      <border>
        <left style="thin">
          <color rgb="FF0891B2"/>
        </left>
        <right style="thin">
          <color rgb="FF0891B2"/>
        </right>
        <top style="thin">
          <color rgb="FF0891B2"/>
        </top>
        <bottom style="thin">
          <color rgb="FF0891B2"/>
        </bottom>
        <vertical/>
        <horizontal/>
      </border>
    </dxf>
    <dxf>
      <font>
        <b/>
        <color rgb="FF5D6B7A"/>
      </font>
      <fill>
        <patternFill>
          <bgColor rgb="FFFBFBF9"/>
        </patternFill>
      </fill>
      <border>
        <left style="thin">
          <color rgb="FFDBE3E8"/>
        </left>
        <right style="thin">
          <color rgb="FFDBE3E8"/>
        </right>
        <top style="thin">
          <color rgb="FFDBE3E8"/>
        </top>
        <bottom style="thin">
          <color rgb="FFDBE3E8"/>
        </bottom>
        <vertical/>
        <horizontal/>
      </border>
    </dxf>
    <dxf>
      <font>
        <b/>
        <color rgb="FF0E7490"/>
      </font>
      <numFmt numFmtId="166" formatCode="&quot;£&quot;#,##0.00"/>
      <fill>
        <patternFill>
          <bgColor rgb="FFE6F4F8"/>
        </patternFill>
      </fill>
      <border>
        <left style="thin">
          <color rgb="FF0891B2"/>
        </left>
        <right style="thin">
          <color rgb="FF0891B2"/>
        </right>
        <top/>
        <bottom/>
        <vertical/>
        <horizontal/>
      </border>
    </dxf>
    <dxf>
      <font>
        <b/>
        <color rgb="FF12202F"/>
      </font>
      <numFmt numFmtId="166" formatCode="&quot;£&quot;#,##0.00"/>
      <fill>
        <patternFill>
          <bgColor rgb="FFFBFBF9"/>
        </patternFill>
      </fill>
      <border>
        <left style="thin">
          <color rgb="FFDBE3E8"/>
        </left>
        <right style="thin">
          <color rgb="FFDBE3E8"/>
        </right>
        <top/>
        <bottom/>
        <vertical/>
        <horizontal/>
      </border>
    </dxf>
    <dxf>
      <font>
        <color rgb="FF0E7490"/>
      </font>
      <fill>
        <patternFill>
          <bgColor rgb="FFE6F4F8"/>
        </patternFill>
      </fill>
      <border>
        <left style="thin">
          <color rgb="FF0891B2"/>
        </left>
        <right style="thin">
          <color rgb="FF0891B2"/>
        </right>
        <top/>
        <bottom style="thin">
          <color rgb="FF0891B2"/>
        </bottom>
        <vertical/>
        <horizontal/>
      </border>
    </dxf>
    <dxf>
      <font>
        <color rgb="FF5D6B7A"/>
      </font>
      <fill>
        <patternFill>
          <bgColor rgb="FFFBFBF9"/>
        </patternFill>
      </fill>
      <border>
        <left style="thin">
          <color rgb="FFDBE3E8"/>
        </left>
        <right style="thin">
          <color rgb="FFDBE3E8"/>
        </right>
        <top/>
        <bottom style="thin">
          <color rgb="FFDBE3E8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12202F"/>
                </a:solidFill>
                <a:latin typeface="Calibri"/>
              </a:defRPr>
            </a:pPr>
            <a:r>
              <a:rPr lang="en-US" sz="1100" b="1" baseline="0">
                <a:solidFill>
                  <a:srgbClr val="12202F"/>
                </a:solidFill>
                <a:latin typeface="Calibri"/>
              </a:rPr>
              <a:t>Cumulative cost — disposable vs reusable (£ per worker)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Disposable</c:v>
          </c:tx>
          <c:spPr>
            <a:solidFill>
              <a:srgbClr val="071525"/>
            </a:solidFill>
            <a:ln>
              <a:solidFill>
                <a:srgbClr val="071525"/>
              </a:solidFill>
            </a:ln>
          </c:spPr>
          <c:marker>
            <c:symbol val="none"/>
          </c:marker>
          <c:cat>
            <c:numRef>
              <c:f>'Calculations'!$B$5:$B$41</c:f>
              <c:numCache>
                <c:formatCode>General</c:formatCode>
                <c:ptCount val="3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</c:numCache>
            </c:numRef>
          </c:cat>
          <c:val>
            <c:numRef>
              <c:f>'Calculations'!$C$5:$C$41</c:f>
              <c:numCache>
                <c:formatCode>General</c:formatCode>
                <c:ptCount val="37"/>
                <c:pt idx="0">
                  <c:v>0.0</c:v>
                </c:pt>
                <c:pt idx="1">
                  <c:v>176.67222222222222</c:v>
                </c:pt>
                <c:pt idx="2">
                  <c:v>246.64444444444445</c:v>
                </c:pt>
                <c:pt idx="3">
                  <c:v>316.6166666666667</c:v>
                </c:pt>
                <c:pt idx="4">
                  <c:v>386.5888888888889</c:v>
                </c:pt>
                <c:pt idx="5">
                  <c:v>456.56111111111113</c:v>
                </c:pt>
                <c:pt idx="6">
                  <c:v>526.5333333333333</c:v>
                </c:pt>
                <c:pt idx="7">
                  <c:v>596.5055555555556</c:v>
                </c:pt>
                <c:pt idx="8">
                  <c:v>666.4777777777778</c:v>
                </c:pt>
                <c:pt idx="9">
                  <c:v>736.45</c:v>
                </c:pt>
                <c:pt idx="10">
                  <c:v>806.4222222222222</c:v>
                </c:pt>
                <c:pt idx="11">
                  <c:v>876.3944444444444</c:v>
                </c:pt>
                <c:pt idx="12">
                  <c:v>946.3666666666667</c:v>
                </c:pt>
                <c:pt idx="13">
                  <c:v>1016.338888888889</c:v>
                </c:pt>
                <c:pt idx="14">
                  <c:v>1086.3111111111111</c:v>
                </c:pt>
                <c:pt idx="15">
                  <c:v>1156.283333333333</c:v>
                </c:pt>
                <c:pt idx="16">
                  <c:v>1226.2555555555557</c:v>
                </c:pt>
                <c:pt idx="17">
                  <c:v>1296.2277777777779</c:v>
                </c:pt>
                <c:pt idx="18">
                  <c:v>1366.2</c:v>
                </c:pt>
                <c:pt idx="19">
                  <c:v>1436.1722222222222</c:v>
                </c:pt>
                <c:pt idx="20">
                  <c:v>1506.1444444444444</c:v>
                </c:pt>
                <c:pt idx="21">
                  <c:v>1576.1166666666666</c:v>
                </c:pt>
                <c:pt idx="22">
                  <c:v>1646.0888888888887</c:v>
                </c:pt>
                <c:pt idx="23">
                  <c:v>1716.0611111111111</c:v>
                </c:pt>
                <c:pt idx="24">
                  <c:v>1786.0333333333333</c:v>
                </c:pt>
                <c:pt idx="25">
                  <c:v>1962.7055555555557</c:v>
                </c:pt>
                <c:pt idx="26">
                  <c:v>2032.677777777778</c:v>
                </c:pt>
                <c:pt idx="27">
                  <c:v>2102.65</c:v>
                </c:pt>
                <c:pt idx="28">
                  <c:v>2172.6222222222223</c:v>
                </c:pt>
                <c:pt idx="29">
                  <c:v>2242.5944444444444</c:v>
                </c:pt>
                <c:pt idx="30">
                  <c:v>2312.566666666666</c:v>
                </c:pt>
                <c:pt idx="31">
                  <c:v>2382.538888888889</c:v>
                </c:pt>
                <c:pt idx="32">
                  <c:v>2452.5111111111114</c:v>
                </c:pt>
                <c:pt idx="33">
                  <c:v>2522.483333333333</c:v>
                </c:pt>
                <c:pt idx="34">
                  <c:v>2592.4555555555557</c:v>
                </c:pt>
                <c:pt idx="35">
                  <c:v>2662.4277777777775</c:v>
                </c:pt>
                <c:pt idx="36">
                  <c:v>2732.4</c:v>
                </c:pt>
              </c:numCache>
            </c:numRef>
          </c:val>
        </c:ser>
        <c:ser>
          <c:idx val="1"/>
          <c:order val="1"/>
          <c:tx>
            <c:v>Reusable</c:v>
          </c:tx>
          <c:spPr>
            <a:solidFill>
              <a:srgbClr val="0891B2"/>
            </a:solidFill>
            <a:ln>
              <a:solidFill>
                <a:srgbClr val="0891B2"/>
              </a:solidFill>
            </a:ln>
          </c:spPr>
          <c:marker>
            <c:symbol val="none"/>
          </c:marker>
          <c:cat>
            <c:numRef>
              <c:f>'Calculations'!$B$5:$B$41</c:f>
              <c:numCache>
                <c:formatCode>General</c:formatCode>
                <c:ptCount val="3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</c:numCache>
            </c:numRef>
          </c:cat>
          <c:val>
            <c:numRef>
              <c:f>'Calculations'!$D$5:$D$41</c:f>
              <c:numCache>
                <c:formatCode>General</c:formatCode>
                <c:ptCount val="37"/>
                <c:pt idx="0">
                  <c:v>0.0</c:v>
                </c:pt>
                <c:pt idx="1">
                  <c:v>127.07291666666669</c:v>
                </c:pt>
                <c:pt idx="2">
                  <c:v>147.44583333333333</c:v>
                </c:pt>
                <c:pt idx="3">
                  <c:v>167.81875</c:v>
                </c:pt>
                <c:pt idx="4">
                  <c:v>188.19166666666666</c:v>
                </c:pt>
                <c:pt idx="5">
                  <c:v>208.5645833333333</c:v>
                </c:pt>
                <c:pt idx="6">
                  <c:v>228.93749999999997</c:v>
                </c:pt>
                <c:pt idx="7">
                  <c:v>249.31041666666664</c:v>
                </c:pt>
                <c:pt idx="8">
                  <c:v>269.68333333333334</c:v>
                </c:pt>
                <c:pt idx="9">
                  <c:v>290.05625</c:v>
                </c:pt>
                <c:pt idx="10">
                  <c:v>310.4291666666667</c:v>
                </c:pt>
                <c:pt idx="11">
                  <c:v>330.80208333333337</c:v>
                </c:pt>
                <c:pt idx="12">
                  <c:v>351.17499999999995</c:v>
                </c:pt>
                <c:pt idx="13">
                  <c:v>371.5479166666667</c:v>
                </c:pt>
                <c:pt idx="14">
                  <c:v>391.9208333333333</c:v>
                </c:pt>
                <c:pt idx="15">
                  <c:v>412.29375000000005</c:v>
                </c:pt>
                <c:pt idx="16">
                  <c:v>432.66666666666663</c:v>
                </c:pt>
                <c:pt idx="17">
                  <c:v>453.03958333333344</c:v>
                </c:pt>
                <c:pt idx="18">
                  <c:v>473.4125</c:v>
                </c:pt>
                <c:pt idx="19">
                  <c:v>493.78541666666666</c:v>
                </c:pt>
                <c:pt idx="20">
                  <c:v>514.1583333333333</c:v>
                </c:pt>
                <c:pt idx="21">
                  <c:v>534.53125</c:v>
                </c:pt>
                <c:pt idx="22">
                  <c:v>554.9041666666667</c:v>
                </c:pt>
                <c:pt idx="23">
                  <c:v>575.2770833333333</c:v>
                </c:pt>
                <c:pt idx="24">
                  <c:v>595.65</c:v>
                </c:pt>
                <c:pt idx="25">
                  <c:v>722.7229166666668</c:v>
                </c:pt>
                <c:pt idx="26">
                  <c:v>743.0958333333334</c:v>
                </c:pt>
                <c:pt idx="27">
                  <c:v>763.46875</c:v>
                </c:pt>
                <c:pt idx="28">
                  <c:v>783.8416666666666</c:v>
                </c:pt>
                <c:pt idx="29">
                  <c:v>804.2145833333332</c:v>
                </c:pt>
                <c:pt idx="30">
                  <c:v>824.5875000000001</c:v>
                </c:pt>
                <c:pt idx="31">
                  <c:v>844.9604166666667</c:v>
                </c:pt>
                <c:pt idx="32">
                  <c:v>865.3333333333333</c:v>
                </c:pt>
                <c:pt idx="33">
                  <c:v>885.7062499999998</c:v>
                </c:pt>
                <c:pt idx="34">
                  <c:v>906.0791666666669</c:v>
                </c:pt>
                <c:pt idx="35">
                  <c:v>926.4520833333335</c:v>
                </c:pt>
                <c:pt idx="36">
                  <c:v>946.825</c:v>
                </c:pt>
              </c:numCache>
            </c:numRef>
          </c:val>
        </c:ser>
        <c:ser>
          <c:idx val="2"/>
          <c:order val="2"/>
          <c:tx>
            <c:v>Break-even</c:v>
          </c:tx>
          <c:spPr>
            <a:ln>
              <a:noFill/>
            </a:ln>
          </c:spPr>
          <c:marker>
            <c:symbol val="circle"/>
            <c:size val="9"/>
            <c:spPr>
              <a:solidFill>
                <a:srgbClr val="A15C08"/>
              </a:solidFill>
              <a:ln w="19050">
                <a:solidFill>
                  <a:srgbClr val="A15C08"/>
                </a:solidFill>
              </a:ln>
            </c:spPr>
          </c:marker>
          <c:dLbls>
            <c:dLbl>
              <c:idx val="0"/>
              <c:delete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Break-even — month 1</a:t>
                    </a:r>
                  </a:p>
                </c:rich>
              </c:tx>
              <c:dLblPos val="t"/>
              <c:showVal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dLbl>
              <c:idx val="15"/>
              <c:delete val="1"/>
            </c:dLbl>
            <c:dLbl>
              <c:idx val="16"/>
              <c:delete val="1"/>
            </c:dLbl>
            <c:dLbl>
              <c:idx val="17"/>
              <c:delete val="1"/>
            </c:dLbl>
            <c:dLbl>
              <c:idx val="18"/>
              <c:delete val="1"/>
            </c:dLbl>
            <c:dLbl>
              <c:idx val="19"/>
              <c:delete val="1"/>
            </c:dLbl>
            <c:dLbl>
              <c:idx val="20"/>
              <c:delete val="1"/>
            </c:dLbl>
            <c:dLbl>
              <c:idx val="21"/>
              <c:delete val="1"/>
            </c:dLbl>
            <c:dLbl>
              <c:idx val="22"/>
              <c:delete val="1"/>
            </c:dLbl>
            <c:dLbl>
              <c:idx val="23"/>
              <c:delete val="1"/>
            </c:dLbl>
            <c:dLbl>
              <c:idx val="24"/>
              <c:delete val="1"/>
            </c:dLbl>
            <c:dLbl>
              <c:idx val="25"/>
              <c:delete val="1"/>
            </c:dLbl>
            <c:dLbl>
              <c:idx val="26"/>
              <c:delete val="1"/>
            </c:dLbl>
            <c:dLbl>
              <c:idx val="27"/>
              <c:delete val="1"/>
            </c:dLbl>
            <c:dLbl>
              <c:idx val="28"/>
              <c:delete val="1"/>
            </c:dLbl>
            <c:dLbl>
              <c:idx val="29"/>
              <c:delete val="1"/>
            </c:dLbl>
            <c:dLbl>
              <c:idx val="30"/>
              <c:delete val="1"/>
            </c:dLbl>
            <c:dLbl>
              <c:idx val="31"/>
              <c:delete val="1"/>
            </c:dLbl>
            <c:dLbl>
              <c:idx val="32"/>
              <c:delete val="1"/>
            </c:dLbl>
            <c:dLbl>
              <c:idx val="33"/>
              <c:delete val="1"/>
            </c:dLbl>
            <c:dLbl>
              <c:idx val="34"/>
              <c:delete val="1"/>
            </c:dLbl>
            <c:dLbl>
              <c:idx val="35"/>
              <c:delete val="1"/>
            </c:dLbl>
            <c:dLbl>
              <c:idx val="36"/>
              <c:delete val="1"/>
            </c:dLbl>
            <c:txPr>
              <a:bodyPr/>
              <a:lstStyle/>
              <a:p>
                <a:pPr>
                  <a:defRPr sz="900" b="1" baseline="0">
                    <a:solidFill>
                      <a:srgbClr val="A15C08"/>
                    </a:solidFill>
                    <a:latin typeface="Calibri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'Calculations'!$B$5:$B$41</c:f>
              <c:numCache>
                <c:formatCode>General</c:formatCode>
                <c:ptCount val="3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</c:numCache>
            </c:numRef>
          </c:cat>
          <c:val>
            <c:numRef>
              <c:f>'Calculations'!$N$5:$N$41</c:f>
              <c:numCache>
                <c:formatCode>General</c:formatCode>
                <c:ptCount val="37"/>
                <c:pt idx="0">
                  <c:v>0</c:v>
                </c:pt>
                <c:pt idx="1">
                  <c:v>127.07291666666669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aseline="0">
                    <a:solidFill>
                      <a:srgbClr val="5D6B7A"/>
                    </a:solidFill>
                    <a:latin typeface="Calibri"/>
                  </a:defRPr>
                </a:pPr>
                <a:r>
                  <a:rPr lang="en-US" sz="900" baseline="0">
                    <a:solidFill>
                      <a:srgbClr val="5D6B7A"/>
                    </a:solidFill>
                    <a:latin typeface="Calibri"/>
                  </a:rPr>
                  <a:t>Month</a:t>
                </a:r>
              </a:p>
            </c:rich>
          </c:tx>
          <c:layout/>
        </c:title>
        <c:numFmt formatCode="General" sourceLinked="1"/>
        <c:tickLblPos val="nextTo"/>
        <c:spPr>
          <a:ln>
            <a:solidFill>
              <a:srgbClr val="DBE3E8"/>
            </a:solidFill>
          </a:ln>
        </c:spPr>
        <c:txPr>
          <a:bodyPr/>
          <a:lstStyle/>
          <a:p>
            <a:pPr>
              <a:defRPr sz="900" baseline="0">
                <a:solidFill>
                  <a:srgbClr val="5D6B7A"/>
                </a:solidFill>
                <a:latin typeface="Calibri"/>
              </a:defRPr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>
          <c:spPr>
            <a:ln>
              <a:solidFill>
                <a:srgbClr val="DBE3E8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aseline="0">
                    <a:solidFill>
                      <a:srgbClr val="5D6B7A"/>
                    </a:solidFill>
                    <a:latin typeface="Calibri"/>
                  </a:defRPr>
                </a:pPr>
                <a:r>
                  <a:rPr lang="en-US" sz="900" baseline="0">
                    <a:solidFill>
                      <a:srgbClr val="5D6B7A"/>
                    </a:solidFill>
                    <a:latin typeface="Calibri"/>
                  </a:rPr>
                  <a:t>Cumulative £ / worker</a:t>
                </a:r>
              </a:p>
            </c:rich>
          </c:tx>
          <c:layout/>
        </c:title>
        <c:numFmt formatCode="&quot;£&quot;#,##0" sourceLinked="0"/>
        <c:tickLblPos val="nextTo"/>
        <c:spPr>
          <a:ln>
            <a:solidFill>
              <a:srgbClr val="DBE3E8"/>
            </a:solidFill>
          </a:ln>
        </c:spPr>
        <c:txPr>
          <a:bodyPr/>
          <a:lstStyle/>
          <a:p>
            <a:pPr>
              <a:defRPr sz="900" baseline="0">
                <a:solidFill>
                  <a:srgbClr val="5D6B7A"/>
                </a:solidFill>
                <a:latin typeface="Calibri"/>
              </a:defRPr>
            </a:pPr>
            <a:endParaRPr lang="en-US"/>
          </a:p>
        </c:txPr>
        <c:crossAx val="50010001"/>
        <c:crosses val="autoZero"/>
        <c:crossBetween val="between"/>
      </c:valAx>
      <c:spPr>
        <a:solidFill>
          <a:srgbClr val="FFFFFF"/>
        </a:solidFill>
        <a:ln>
          <a:solidFill>
            <a:srgbClr val="DBE3E8"/>
          </a:solidFill>
        </a:ln>
      </c:spPr>
    </c:plotArea>
    <c:legend>
      <c:legendPos val="b"/>
      <c:layout/>
      <c:txPr>
        <a:bodyPr/>
        <a:lstStyle/>
        <a:p>
          <a:pPr>
            <a:defRPr sz="900" baseline="0">
              <a:solidFill>
                <a:srgbClr val="12202F"/>
              </a:solidFill>
              <a:latin typeface="Calibri"/>
            </a:defRPr>
          </a:pPr>
          <a:endParaRPr lang="en-US"/>
        </a:p>
      </c:txPr>
    </c:legend>
    <c:plotVisOnly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12202F"/>
                </a:solidFill>
                <a:latin typeface="Calibri"/>
              </a:defRPr>
            </a:pPr>
            <a:r>
              <a:rPr lang="en-US" sz="1100" b="1" baseline="0">
                <a:solidFill>
                  <a:srgbClr val="12202F"/>
                </a:solidFill>
                <a:latin typeface="Calibri"/>
              </a:rPr>
              <a:t>Cost breakdown · 3-year totals (£ per worker)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v>RPE direct</c:v>
          </c:tx>
          <c:spPr>
            <a:solidFill>
              <a:srgbClr val="0891B2"/>
            </a:solidFill>
            <a:ln>
              <a:solidFill>
                <a:srgbClr val="0891B2"/>
              </a:solidFill>
            </a:ln>
          </c:spPr>
          <c:cat>
            <c:strRef>
              <c:f>'Calculations'!$G$5:$G$6</c:f>
              <c:strCache>
                <c:ptCount val="2"/>
                <c:pt idx="0">
                  <c:v>Disposable</c:v>
                </c:pt>
                <c:pt idx="1">
                  <c:v>Reusable</c:v>
                </c:pt>
              </c:strCache>
            </c:strRef>
          </c:cat>
          <c:val>
            <c:numRef>
              <c:f>'Calculations'!$H$5:$H$6</c:f>
              <c:numCache>
                <c:formatCode>General</c:formatCode>
                <c:ptCount val="2"/>
                <c:pt idx="0">
                  <c:v>2160.0</c:v>
                </c:pt>
                <c:pt idx="1">
                  <c:v>536.75</c:v>
                </c:pt>
              </c:numCache>
            </c:numRef>
          </c:val>
        </c:ser>
        <c:ser>
          <c:idx val="1"/>
          <c:order val="1"/>
          <c:tx>
            <c:v>Fit-test</c:v>
          </c:tx>
          <c:spPr>
            <a:solidFill>
              <a:srgbClr val="1AA6C9"/>
            </a:solidFill>
            <a:ln>
              <a:solidFill>
                <a:srgbClr val="1AA6C9"/>
              </a:solidFill>
            </a:ln>
          </c:spPr>
          <c:cat>
            <c:strRef>
              <c:f>'Calculations'!$G$5:$G$6</c:f>
              <c:strCache>
                <c:ptCount val="2"/>
                <c:pt idx="0">
                  <c:v>Disposable</c:v>
                </c:pt>
                <c:pt idx="1">
                  <c:v>Reusable</c:v>
                </c:pt>
              </c:strCache>
            </c:strRef>
          </c:cat>
          <c:val>
            <c:numRef>
              <c:f>'Calculations'!$I$5:$I$6</c:f>
              <c:numCache>
                <c:formatCode>General</c:formatCode>
                <c:ptCount val="2"/>
                <c:pt idx="0">
                  <c:v>194.0</c:v>
                </c:pt>
                <c:pt idx="1">
                  <c:v>194.0</c:v>
                </c:pt>
              </c:numCache>
            </c:numRef>
          </c:val>
        </c:ser>
        <c:ser>
          <c:idx val="2"/>
          <c:order val="2"/>
          <c:tx>
            <c:v>Training</c:v>
          </c:tx>
          <c:spPr>
            <a:solidFill>
              <a:srgbClr val="3FBCDC"/>
            </a:solidFill>
            <a:ln>
              <a:solidFill>
                <a:srgbClr val="3FBCDC"/>
              </a:solidFill>
            </a:ln>
          </c:spPr>
          <c:cat>
            <c:strRef>
              <c:f>'Calculations'!$G$5:$G$6</c:f>
              <c:strCache>
                <c:ptCount val="2"/>
                <c:pt idx="0">
                  <c:v>Disposable</c:v>
                </c:pt>
                <c:pt idx="1">
                  <c:v>Reusable</c:v>
                </c:pt>
              </c:strCache>
            </c:strRef>
          </c:cat>
          <c:val>
            <c:numRef>
              <c:f>'Calculations'!$J$5:$J$6</c:f>
              <c:numCache>
                <c:formatCode>General</c:formatCode>
                <c:ptCount val="2"/>
                <c:pt idx="0">
                  <c:v>40.0</c:v>
                </c:pt>
                <c:pt idx="1">
                  <c:v>40.0</c:v>
                </c:pt>
              </c:numCache>
            </c:numRef>
          </c:val>
        </c:ser>
        <c:ser>
          <c:idx val="3"/>
          <c:order val="3"/>
          <c:tx>
            <c:v>Surveillance</c:v>
          </c:tx>
          <c:spPr>
            <a:solidFill>
              <a:srgbClr val="6CCFE6"/>
            </a:solidFill>
            <a:ln>
              <a:solidFill>
                <a:srgbClr val="6CCFE6"/>
              </a:solidFill>
            </a:ln>
          </c:spPr>
          <c:cat>
            <c:strRef>
              <c:f>'Calculations'!$G$5:$G$6</c:f>
              <c:strCache>
                <c:ptCount val="2"/>
                <c:pt idx="0">
                  <c:v>Disposable</c:v>
                </c:pt>
                <c:pt idx="1">
                  <c:v>Reusable</c:v>
                </c:pt>
              </c:strCache>
            </c:strRef>
          </c:cat>
          <c:val>
            <c:numRef>
              <c:f>'Calculations'!$K$5:$K$6</c:f>
              <c:numCache>
                <c:formatCode>General</c:formatCode>
                <c:ptCount val="2"/>
                <c:pt idx="0">
                  <c:v>90.0</c:v>
                </c:pt>
                <c:pt idx="1">
                  <c:v>90.0</c:v>
                </c:pt>
              </c:numCache>
            </c:numRef>
          </c:val>
        </c:ser>
        <c:ser>
          <c:idx val="4"/>
          <c:order val="4"/>
          <c:tx>
            <c:v>Admin</c:v>
          </c:tx>
          <c:spPr>
            <a:solidFill>
              <a:srgbClr val="A8E0EE"/>
            </a:solidFill>
            <a:ln>
              <a:solidFill>
                <a:srgbClr val="A8E0EE"/>
              </a:solidFill>
            </a:ln>
          </c:spPr>
          <c:cat>
            <c:strRef>
              <c:f>'Calculations'!$G$5:$G$6</c:f>
              <c:strCache>
                <c:ptCount val="2"/>
                <c:pt idx="0">
                  <c:v>Disposable</c:v>
                </c:pt>
                <c:pt idx="1">
                  <c:v>Reusable</c:v>
                </c:pt>
              </c:strCache>
            </c:strRef>
          </c:cat>
          <c:val>
            <c:numRef>
              <c:f>'Calculations'!$L$5:$L$6</c:f>
              <c:numCache>
                <c:formatCode>General</c:formatCode>
                <c:ptCount val="2"/>
                <c:pt idx="0">
                  <c:v>248.4</c:v>
                </c:pt>
                <c:pt idx="1">
                  <c:v>86.075</c:v>
                </c:pt>
              </c:numCache>
            </c:numRef>
          </c:val>
        </c:ser>
        <c:ser>
          <c:idx val="5"/>
          <c:order val="5"/>
          <c:tx>
            <c:v>Risk-adjusted</c:v>
          </c:tx>
          <c:spPr>
            <a:solidFill>
              <a:srgbClr val="0E7490"/>
            </a:solidFill>
            <a:ln>
              <a:solidFill>
                <a:srgbClr val="0E7490"/>
              </a:solidFill>
            </a:ln>
          </c:spPr>
          <c:cat>
            <c:strRef>
              <c:f>'Calculations'!$G$5:$G$6</c:f>
              <c:strCache>
                <c:ptCount val="2"/>
                <c:pt idx="0">
                  <c:v>Disposable</c:v>
                </c:pt>
                <c:pt idx="1">
                  <c:v>Reusable</c:v>
                </c:pt>
              </c:strCache>
            </c:strRef>
          </c:cat>
          <c:val>
            <c:numRef>
              <c:f>'Calculations'!$M$5:$M$6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val>
        </c:ser>
        <c:overlap val="100"/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aseline="0">
                    <a:solidFill>
                      <a:srgbClr val="5D6B7A"/>
                    </a:solidFill>
                    <a:latin typeface="Calibri"/>
                  </a:defRPr>
                </a:pPr>
                <a:r>
                  <a:rPr lang="en-US" sz="900" baseline="0">
                    <a:solidFill>
                      <a:srgbClr val="5D6B7A"/>
                    </a:solidFill>
                    <a:latin typeface="Calibri"/>
                  </a:rPr>
                  <a:t/>
                </a:r>
              </a:p>
            </c:rich>
          </c:tx>
          <c:layout/>
        </c:title>
        <c:tickLblPos val="nextTo"/>
        <c:spPr>
          <a:ln>
            <a:solidFill>
              <a:srgbClr val="DBE3E8"/>
            </a:solidFill>
          </a:ln>
        </c:spPr>
        <c:txPr>
          <a:bodyPr/>
          <a:lstStyle/>
          <a:p>
            <a:pPr>
              <a:defRPr sz="900" baseline="0">
                <a:solidFill>
                  <a:srgbClr val="5D6B7A"/>
                </a:solidFill>
                <a:latin typeface="Calibri"/>
              </a:defRPr>
            </a:pPr>
            <a:endParaRPr lang="en-US"/>
          </a:p>
        </c:txPr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>
          <c:spPr>
            <a:ln>
              <a:solidFill>
                <a:srgbClr val="DBE3E8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/>
                </a:r>
              </a:p>
            </c:rich>
          </c:tx>
          <c:layout/>
        </c:title>
        <c:numFmt formatCode="&quot;£&quot;#,##0" sourceLinked="0"/>
        <c:tickLblPos val="nextTo"/>
        <c:crossAx val="50020001"/>
        <c:crosses val="autoZero"/>
        <c:crossBetween val="between"/>
      </c:valAx>
      <c:spPr>
        <a:solidFill>
          <a:srgbClr val="FFFFFF"/>
        </a:solidFill>
        <a:ln>
          <a:solidFill>
            <a:srgbClr val="DBE3E8"/>
          </a:solidFill>
        </a:ln>
      </c:spPr>
    </c:plotArea>
    <c:legend>
      <c:legendPos val="b"/>
      <c:layout/>
      <c:txPr>
        <a:bodyPr/>
        <a:lstStyle/>
        <a:p>
          <a:pPr>
            <a:defRPr sz="900" baseline="0">
              <a:solidFill>
                <a:srgbClr val="12202F"/>
              </a:solidFill>
              <a:latin typeface="Calibri"/>
            </a:defRPr>
          </a:pPr>
          <a:endParaRPr lang="en-US"/>
        </a:p>
      </c:txPr>
    </c:legend>
    <c:plotVisOnly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95250</xdr:rowOff>
    </xdr:from>
    <xdr:to>
      <xdr:col>1</xdr:col>
      <xdr:colOff>298275</xdr:colOff>
      <xdr:row>0</xdr:row>
      <xdr:rowOff>479250</xdr:rowOff>
    </xdr:to>
    <xdr:pic>
      <xdr:nvPicPr>
        <xdr:cNvPr id="2" name="Picture 1" descr="brand-mark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384000" cy="38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95250</xdr:rowOff>
    </xdr:from>
    <xdr:to>
      <xdr:col>1</xdr:col>
      <xdr:colOff>298275</xdr:colOff>
      <xdr:row>0</xdr:row>
      <xdr:rowOff>479250</xdr:rowOff>
    </xdr:to>
    <xdr:pic>
      <xdr:nvPicPr>
        <xdr:cNvPr id="2" name="Picture 1" descr="brand-mark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384000" cy="3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95250</xdr:rowOff>
    </xdr:from>
    <xdr:to>
      <xdr:col>1</xdr:col>
      <xdr:colOff>298275</xdr:colOff>
      <xdr:row>0</xdr:row>
      <xdr:rowOff>479250</xdr:rowOff>
    </xdr:to>
    <xdr:pic>
      <xdr:nvPicPr>
        <xdr:cNvPr id="2" name="Picture 1" descr="brand-mark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384000" cy="3840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</xdr:row>
      <xdr:rowOff>38100</xdr:rowOff>
    </xdr:from>
    <xdr:to>
      <xdr:col>6</xdr:col>
      <xdr:colOff>609600</xdr:colOff>
      <xdr:row>28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38100</xdr:colOff>
      <xdr:row>15</xdr:row>
      <xdr:rowOff>38100</xdr:rowOff>
    </xdr:from>
    <xdr:to>
      <xdr:col>10</xdr:col>
      <xdr:colOff>381000</xdr:colOff>
      <xdr:row>28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95250</xdr:rowOff>
    </xdr:from>
    <xdr:to>
      <xdr:col>1</xdr:col>
      <xdr:colOff>298275</xdr:colOff>
      <xdr:row>0</xdr:row>
      <xdr:rowOff>479250</xdr:rowOff>
    </xdr:to>
    <xdr:pic>
      <xdr:nvPicPr>
        <xdr:cNvPr id="2" name="Picture 1" descr="brand-mark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384000" cy="384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95250</xdr:rowOff>
    </xdr:from>
    <xdr:to>
      <xdr:col>1</xdr:col>
      <xdr:colOff>298275</xdr:colOff>
      <xdr:row>0</xdr:row>
      <xdr:rowOff>479250</xdr:rowOff>
    </xdr:to>
    <xdr:pic>
      <xdr:nvPicPr>
        <xdr:cNvPr id="2" name="Picture 1" descr="brand-mark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384000" cy="3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hyperlink" Target="https://www.bsif.co.uk/clean-air-rsss/" TargetMode="External"/><Relationship Id="rId2" Type="http://schemas.openxmlformats.org/officeDocument/2006/relationships/hyperlink" Target="https://resources.hse.gov.uk/notices/" TargetMode="External"/><Relationship Id="rId3" Type="http://schemas.openxmlformats.org/officeDocument/2006/relationships/hyperlink" Target="https://www.hse.gov.uk/pubns/books/hsg53.htm" TargetMode="External"/><Relationship Id="rId4" Type="http://schemas.openxmlformats.org/officeDocument/2006/relationships/hyperlink" Target="https://academic.oup.com/annweh" TargetMode="External"/><Relationship Id="rId5" Type="http://schemas.openxmlformats.org/officeDocument/2006/relationships/hyperlink" Target="https://www.supplychain.nhs.uk/" TargetMode="External"/><Relationship Id="rId6" Type="http://schemas.openxmlformats.org/officeDocument/2006/relationships/hyperlink" Target="https://www.shponline.co.uk/" TargetMode="External"/><Relationship Id="rId7" Type="http://schemas.openxmlformats.org/officeDocument/2006/relationships/hyperlink" Target="https://www.ioshmagazine.com/" TargetMode="External"/><Relationship Id="rId8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71525"/>
  </sheetPr>
  <dimension ref="A1:H26"/>
  <sheetViews>
    <sheetView showGridLines="0" tabSelected="1" workbookViewId="0">
      <pane ySplit="1" topLeftCell="A2" activePane="bottomLeft" state="frozen"/>
      <selection pane="bottomLeft" activeCell="B2" sqref="B2"/>
    </sheetView>
  </sheetViews>
  <sheetFormatPr defaultRowHeight="15"/>
  <cols>
    <col min="1" max="1" width="2.7109375" customWidth="1"/>
    <col min="2" max="2" width="90.7109375" customWidth="1"/>
  </cols>
  <sheetData>
    <row r="1" spans="1:8" ht="48" customHeight="1">
      <c r="A1" s="1" t="s">
        <v>0</v>
      </c>
      <c r="B1" s="1"/>
      <c r="C1" s="1"/>
      <c r="D1" s="1"/>
      <c r="E1" s="2" t="s">
        <v>1</v>
      </c>
      <c r="F1" s="2"/>
      <c r="G1" s="2"/>
      <c r="H1" s="2"/>
    </row>
    <row r="2" spans="1:8" ht="22" customHeight="1">
      <c r="B2" s="3" t="s">
        <v>2</v>
      </c>
    </row>
    <row r="3" spans="1:8" ht="36" customHeight="1">
      <c r="B3" s="4" t="s">
        <v>3</v>
      </c>
    </row>
    <row r="4" spans="1:8" ht="6" customHeight="1"/>
    <row r="5" spans="1:8" ht="20" customHeight="1">
      <c r="B5" s="5" t="s">
        <v>4</v>
      </c>
    </row>
    <row r="6" spans="1:8" ht="6" customHeight="1"/>
    <row r="7" spans="1:8">
      <c r="B7" s="6" t="s">
        <v>5</v>
      </c>
    </row>
    <row r="10" spans="1:8">
      <c r="B10" s="3" t="s">
        <v>6</v>
      </c>
    </row>
    <row r="12" spans="1:8">
      <c r="B12" s="7" t="s">
        <v>7</v>
      </c>
    </row>
    <row r="13" spans="1:8">
      <c r="B13" s="7" t="s">
        <v>8</v>
      </c>
    </row>
    <row r="14" spans="1:8" ht="6" customHeight="1">
      <c r="B14" s="7" t="s">
        <v>9</v>
      </c>
    </row>
    <row r="16" spans="1:8">
      <c r="B16" s="3" t="s">
        <v>10</v>
      </c>
    </row>
    <row r="18" spans="2:2">
      <c r="B18" s="8" t="s">
        <v>11</v>
      </c>
    </row>
    <row r="20" spans="2:2">
      <c r="B20" s="3" t="s">
        <v>12</v>
      </c>
    </row>
    <row r="22" spans="2:2" ht="6" customHeight="1">
      <c r="B22" s="8" t="s">
        <v>13</v>
      </c>
    </row>
    <row r="25" spans="2:2">
      <c r="B25" s="9" t="s">
        <v>14</v>
      </c>
    </row>
    <row r="26" spans="2:2">
      <c r="B26" s="9" t="s">
        <v>15</v>
      </c>
    </row>
  </sheetData>
  <mergeCells count="2">
    <mergeCell ref="A1:D1"/>
    <mergeCell ref="E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891B2"/>
  </sheetPr>
  <dimension ref="A1:D36"/>
  <sheetViews>
    <sheetView workbookViewId="0">
      <pane ySplit="3" topLeftCell="A4" activePane="bottomLeft" state="frozen"/>
      <selection pane="bottomLeft" activeCell="C4" sqref="C4"/>
    </sheetView>
  </sheetViews>
  <sheetFormatPr defaultRowHeight="15"/>
  <cols>
    <col min="1" max="1" width="2.7109375" customWidth="1"/>
    <col min="2" max="2" width="56.7109375" customWidth="1"/>
    <col min="3" max="3" width="18.7109375" customWidth="1"/>
    <col min="4" max="4" width="56.7109375" customWidth="1"/>
  </cols>
  <sheetData>
    <row r="1" spans="1:4" ht="48" customHeight="1">
      <c r="A1" s="1" t="s">
        <v>0</v>
      </c>
      <c r="B1" s="1"/>
      <c r="C1" s="2" t="s">
        <v>16</v>
      </c>
      <c r="D1" s="2"/>
    </row>
    <row r="2" spans="1:4" ht="28" customHeight="1">
      <c r="B2" s="8" t="s">
        <v>17</v>
      </c>
      <c r="C2" s="8"/>
      <c r="D2" s="8"/>
    </row>
    <row r="3" spans="1:4" ht="8" customHeight="1">
      <c r="B3" s="10" t="s">
        <v>18</v>
      </c>
      <c r="C3" s="10"/>
      <c r="D3" s="10"/>
    </row>
    <row r="4" spans="1:4">
      <c r="B4" s="11" t="s">
        <v>19</v>
      </c>
      <c r="C4" s="12">
        <v>50</v>
      </c>
      <c r="D4" s="13" t="s">
        <v>20</v>
      </c>
    </row>
    <row r="5" spans="1:4">
      <c r="B5" s="11" t="s">
        <v>21</v>
      </c>
      <c r="C5" s="14">
        <v>4.5</v>
      </c>
      <c r="D5" s="13" t="s">
        <v>22</v>
      </c>
    </row>
    <row r="6" spans="1:4">
      <c r="B6" s="11" t="s">
        <v>23</v>
      </c>
      <c r="C6" s="12">
        <v>225</v>
      </c>
      <c r="D6" s="13" t="s">
        <v>24</v>
      </c>
    </row>
    <row r="7" spans="1:4">
      <c r="B7" s="11" t="s">
        <v>25</v>
      </c>
      <c r="C7" s="15">
        <v>22</v>
      </c>
      <c r="D7" s="13" t="s">
        <v>26</v>
      </c>
    </row>
    <row r="9" spans="1:4">
      <c r="B9" s="10" t="s">
        <v>27</v>
      </c>
      <c r="C9" s="10"/>
      <c r="D9" s="10"/>
    </row>
    <row r="10" spans="1:4">
      <c r="B10" s="11" t="s">
        <v>28</v>
      </c>
      <c r="C10" s="15">
        <v>3.2</v>
      </c>
      <c r="D10" s="13" t="s">
        <v>29</v>
      </c>
    </row>
    <row r="11" spans="1:4">
      <c r="B11" s="11" t="s">
        <v>30</v>
      </c>
      <c r="C11" s="14">
        <v>1</v>
      </c>
      <c r="D11" s="13" t="s">
        <v>31</v>
      </c>
    </row>
    <row r="12" spans="1:4">
      <c r="B12" s="11" t="s">
        <v>32</v>
      </c>
      <c r="C12" s="15">
        <v>0</v>
      </c>
      <c r="D12" s="13" t="s">
        <v>33</v>
      </c>
    </row>
    <row r="14" spans="1:4">
      <c r="B14" s="10" t="s">
        <v>34</v>
      </c>
      <c r="C14" s="10"/>
      <c r="D14" s="10"/>
    </row>
    <row r="15" spans="1:4">
      <c r="B15" s="11" t="s">
        <v>35</v>
      </c>
      <c r="C15" s="15">
        <v>38</v>
      </c>
      <c r="D15" s="13" t="s">
        <v>36</v>
      </c>
    </row>
    <row r="16" spans="1:4">
      <c r="B16" s="11" t="s">
        <v>37</v>
      </c>
      <c r="C16" s="15">
        <v>6.5</v>
      </c>
      <c r="D16" s="13" t="s">
        <v>38</v>
      </c>
    </row>
    <row r="17" spans="2:4">
      <c r="B17" s="11" t="s">
        <v>39</v>
      </c>
      <c r="C17" s="12">
        <v>10</v>
      </c>
      <c r="D17" s="13" t="s">
        <v>40</v>
      </c>
    </row>
    <row r="18" spans="2:4">
      <c r="B18" s="11" t="s">
        <v>41</v>
      </c>
      <c r="C18" s="12">
        <v>3</v>
      </c>
      <c r="D18" s="13" t="s">
        <v>42</v>
      </c>
    </row>
    <row r="19" spans="2:4">
      <c r="B19" s="11" t="s">
        <v>43</v>
      </c>
      <c r="C19" s="15">
        <v>20</v>
      </c>
      <c r="D19" s="13" t="s">
        <v>44</v>
      </c>
    </row>
    <row r="21" spans="2:4">
      <c r="B21" s="10" t="s">
        <v>45</v>
      </c>
      <c r="C21" s="10"/>
      <c r="D21" s="10"/>
    </row>
    <row r="22" spans="2:4">
      <c r="B22" s="11" t="s">
        <v>46</v>
      </c>
      <c r="C22" s="15">
        <v>75</v>
      </c>
      <c r="D22" s="13" t="s">
        <v>47</v>
      </c>
    </row>
    <row r="23" spans="2:4">
      <c r="B23" s="11" t="s">
        <v>48</v>
      </c>
      <c r="C23" s="12">
        <v>24</v>
      </c>
      <c r="D23" s="13" t="s">
        <v>49</v>
      </c>
    </row>
    <row r="24" spans="2:4">
      <c r="B24" s="11" t="s">
        <v>50</v>
      </c>
      <c r="C24" s="14">
        <v>1</v>
      </c>
      <c r="D24" s="13" t="s">
        <v>51</v>
      </c>
    </row>
    <row r="25" spans="2:4">
      <c r="B25" s="11" t="s">
        <v>52</v>
      </c>
      <c r="C25" s="15">
        <v>40</v>
      </c>
      <c r="D25" s="13" t="s">
        <v>53</v>
      </c>
    </row>
    <row r="26" spans="2:4">
      <c r="B26" s="11" t="s">
        <v>54</v>
      </c>
      <c r="C26" s="14">
        <v>3</v>
      </c>
      <c r="D26" s="13" t="s">
        <v>55</v>
      </c>
    </row>
    <row r="27" spans="2:4">
      <c r="B27" s="11" t="s">
        <v>56</v>
      </c>
      <c r="C27" s="15">
        <v>30</v>
      </c>
      <c r="D27" s="13" t="s">
        <v>57</v>
      </c>
    </row>
    <row r="28" spans="2:4">
      <c r="B28" s="11" t="s">
        <v>58</v>
      </c>
      <c r="C28" s="16">
        <v>0.1</v>
      </c>
      <c r="D28" s="13" t="s">
        <v>59</v>
      </c>
    </row>
    <row r="30" spans="2:4">
      <c r="B30" s="10" t="s">
        <v>60</v>
      </c>
      <c r="C30" s="10"/>
      <c r="D30" s="10"/>
    </row>
    <row r="31" spans="2:4">
      <c r="B31" s="11" t="s">
        <v>61</v>
      </c>
      <c r="C31" s="17" t="s">
        <v>62</v>
      </c>
      <c r="D31" s="13" t="s">
        <v>63</v>
      </c>
    </row>
    <row r="32" spans="2:4">
      <c r="B32" s="11" t="s">
        <v>64</v>
      </c>
      <c r="C32" s="16">
        <v>0.05</v>
      </c>
      <c r="D32" s="13" t="s">
        <v>65</v>
      </c>
    </row>
    <row r="33" spans="2:4">
      <c r="B33" s="11" t="s">
        <v>66</v>
      </c>
      <c r="C33" s="16">
        <v>0.05</v>
      </c>
      <c r="D33" s="13" t="s">
        <v>67</v>
      </c>
    </row>
    <row r="34" spans="2:4">
      <c r="B34" s="11" t="s">
        <v>68</v>
      </c>
      <c r="C34" s="18">
        <v>40000</v>
      </c>
      <c r="D34" s="13" t="s">
        <v>69</v>
      </c>
    </row>
    <row r="36" spans="2:4">
      <c r="B36" s="9" t="s">
        <v>70</v>
      </c>
      <c r="C36" s="9"/>
      <c r="D36" s="9"/>
    </row>
  </sheetData>
  <sheetProtection password="CB67" sheet="1" objects="1" scenarios="1"/>
  <mergeCells count="9">
    <mergeCell ref="A1:B1"/>
    <mergeCell ref="C1:D1"/>
    <mergeCell ref="B2:D2"/>
    <mergeCell ref="B3:D3"/>
    <mergeCell ref="B9:D9"/>
    <mergeCell ref="B14:D14"/>
    <mergeCell ref="B21:D21"/>
    <mergeCell ref="B30:D30"/>
    <mergeCell ref="B36:D36"/>
  </mergeCells>
  <dataValidations count="23">
    <dataValidation type="whole" errorStyle="warning" allowBlank="1" showInputMessage="1" showErrorMessage="1" promptTitle="Headcount" prompt="Whole number of people who wear RPE regularly. 1–100,000." sqref="C4">
      <formula1>1</formula1>
      <formula2>100000</formula2>
    </dataValidation>
    <dataValidation type="decimal" errorStyle="warning" allowBlank="1" showInputMessage="1" showErrorMessage="1" promptTitle="Daily RPE hours" prompt="Hours per shift in RPE. Typical 1–8." sqref="C5">
      <formula1>0.0</formula1>
      <formula2>12.0</formula2>
    </dataValidation>
    <dataValidation type="whole" errorStyle="warning" allowBlank="1" showInputMessage="1" showErrorMessage="1" promptTitle="Working days" prompt="UK typical 225, excluding holidays and absence." sqref="C6">
      <formula1>1</formula1>
      <formula2>365</formula2>
    </dataValidation>
    <dataValidation type="decimal" errorStyle="warning" allowBlank="1" showInputMessage="1" showErrorMessage="1" promptTitle="Hourly wage" prompt="Fully-loaded hourly cost in £. Used to value lost productivity during fit-tests." sqref="C7">
      <formula1>0</formula1>
      <formula2>1000</formula2>
    </dataValidation>
    <dataValidation type="decimal" errorStyle="warning" allowBlank="1" showInputMessage="1" showErrorMessage="1" promptTitle="Unit price" prompt="Invoiced price per mask in £." sqref="C10">
      <formula1>0</formula1>
      <formula2>1000</formula2>
    </dataValidation>
    <dataValidation type="decimal" errorStyle="warning" allowBlank="1" showInputMessage="1" showErrorMessage="1" promptTitle="Masks per shift" prompt="HSE guidance treats disposables as single-shift. Typical 1." sqref="C11">
      <formula1>0.1</formula1>
      <formula2>20</formula2>
    </dataValidation>
    <dataValidation type="decimal" errorStyle="warning" allowBlank="1" showInputMessage="1" showErrorMessage="1" promptTitle="Disposal cost" prompt="Optional. Leave at 0 if not separately tracked." sqref="C12">
      <formula1>0</formula1>
      <formula2>100</formula2>
    </dataValidation>
    <dataValidation type="decimal" errorStyle="warning" allowBlank="1" showInputMessage="1" showErrorMessage="1" promptTitle="Mask body cost" prompt="Body unit only — filters costed separately." sqref="C15">
      <formula1>0</formula1>
      <formula2>5000</formula2>
    </dataValidation>
    <dataValidation type="decimal" errorStyle="warning" allowBlank="1" showInputMessage="1" showErrorMessage="1" promptTitle="Filter price" prompt="Per pair, P3 class typical." sqref="C16">
      <formula1>0</formula1>
      <formula2>1000</formula2>
    </dataValidation>
    <dataValidation type="whole" errorStyle="warning" allowBlank="1" showInputMessage="1" showErrorMessage="1" promptTitle="Filter life" prompt="Typical UK range 5–20 shifts." sqref="C17">
      <formula1>1</formula1>
      <formula2>200</formula2>
    </dataValidation>
    <dataValidation type="whole" errorStyle="warning" allowBlank="1" showInputMessage="1" showErrorMessage="1" promptTitle="Mask lifetime" prompt="Range typically 2–5 years." sqref="C18">
      <formula1>1</formula1>
      <formula2>20</formula2>
    </dataValidation>
    <dataValidation type="decimal" errorStyle="warning" allowBlank="1" showInputMessage="1" showErrorMessage="1" promptTitle="Cleaning &amp; storage" prompt="Annual cost per worker." sqref="C19">
      <formula1>0</formula1>
      <formula2>5000</formula2>
    </dataValidation>
    <dataValidation type="decimal" errorStyle="warning" allowBlank="1" showInputMessage="1" showErrorMessage="1" promptTitle="Fit-test cost" prompt="Typical UK range £60–£120." sqref="C22">
      <formula1>0</formula1>
      <formula2>5000</formula2>
    </dataValidation>
    <dataValidation type="whole" errorStyle="warning" allowBlank="1" showInputMessage="1" showErrorMessage="1" promptTitle="Fit-test interval" prompt="HSG53 requires re-test on change of conditions. Industry-typical 24." sqref="C23">
      <formula1>1</formula1>
      <formula2>60</formula2>
    </dataValidation>
    <dataValidation type="decimal" errorStyle="warning" allowBlank="1" showInputMessage="1" showErrorMessage="1" promptTitle="Lost productivity" prompt="Hours of paid productivity lost per fit-test." sqref="C24">
      <formula1>0</formula1>
      <formula2>8</formula2>
    </dataValidation>
    <dataValidation type="decimal" errorStyle="warning" allowBlank="1" showInputMessage="1" showErrorMessage="1" promptTitle="Training cost" prompt="One-off training event per worker; amortised over expected tenure." sqref="C25">
      <formula1>0</formula1>
      <formula2>5000</formula2>
    </dataValidation>
    <dataValidation type="decimal" errorStyle="warning" allowBlank="1" showInputMessage="1" showErrorMessage="1" promptTitle="Tenure (years)" prompt="Used to amortise training cost. If tenure &lt; 3, training repeats inside the 3-year horizon." sqref="C26">
      <formula1>0.25</formula1>
      <formula2>20</formula2>
    </dataValidation>
    <dataValidation type="decimal" errorStyle="warning" allowBlank="1" showInputMessage="1" showErrorMessage="1" promptTitle="Surveillance" prompt="Per worker per year. Where respirable hazard present per COSHH." sqref="C27">
      <formula1>0</formula1>
      <formula2>5000</formula2>
    </dataValidation>
    <dataValidation type="decimal" errorStyle="warning" allowBlank="1" showInputMessage="1" showErrorMessage="1" promptTitle="Admin overhead" prompt="Records, reviews, supplier mgmt, audit prep. Typical 8–12%." sqref="C28">
      <formula1>0</formula1>
      <formula2>1</formula2>
    </dataValidation>
    <dataValidation type="list" errorStyle="warning" allowBlank="1" showInputMessage="1" showErrorMessage="1" promptTitle="Risk-adjusted line" prompt="See Read-me / PDF page 5 before turning ON." sqref="C31">
      <formula1>"OFF,ON"</formula1>
    </dataValidation>
    <dataValidation type="decimal" errorStyle="warning" allowBlank="1" showInputMessage="1" showErrorMessage="1" promptTitle="Probability disp." prompt="Annual probability. Conservative default informed by BSIF 2025 supplier testing." sqref="C32">
      <formula1>0</formula1>
      <formula2>1</formula2>
    </dataValidation>
    <dataValidation type="decimal" errorStyle="warning" allowBlank="1" showInputMessage="1" showErrorMessage="1" promptTitle="Probability reu." prompt="Annual probability. Adjust based on supplier scenario." sqref="C33">
      <formula1>0</formula1>
      <formula2>1</formula2>
    </dataValidation>
    <dataValidation type="decimal" errorStyle="warning" allowBlank="1" showInputMessage="1" showErrorMessage="1" promptTitle="Event cost" prompt="Median UK HSE prosecution outcome, respirable-hazard." sqref="C34">
      <formula1>0</formula1>
      <formula2>100000000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E7490"/>
  </sheetPr>
  <dimension ref="A1:J34"/>
  <sheetViews>
    <sheetView showGridLines="0" workbookViewId="0">
      <pane ySplit="3" topLeftCell="A4" activePane="bottomLeft" state="frozen"/>
      <selection pane="bottomLeft" activeCell="B2" sqref="B2"/>
    </sheetView>
  </sheetViews>
  <sheetFormatPr defaultRowHeight="15"/>
  <cols>
    <col min="1" max="1" width="2.7109375" customWidth="1"/>
    <col min="2" max="10" width="13.7109375" customWidth="1"/>
  </cols>
  <sheetData>
    <row r="1" spans="1:10" ht="48" customHeight="1">
      <c r="A1" s="1" t="s">
        <v>0</v>
      </c>
      <c r="B1" s="1"/>
      <c r="C1" s="1"/>
      <c r="D1" s="1"/>
      <c r="E1" s="1"/>
      <c r="F1" s="2" t="s">
        <v>71</v>
      </c>
      <c r="G1" s="2"/>
      <c r="H1" s="2"/>
      <c r="I1" s="2"/>
      <c r="J1" s="2"/>
    </row>
    <row r="2" spans="1:10" ht="28" customHeight="1">
      <c r="B2" s="19" t="s">
        <v>72</v>
      </c>
      <c r="C2" s="19"/>
      <c r="D2" s="19"/>
      <c r="E2" s="19"/>
      <c r="F2" s="19"/>
      <c r="G2" s="19"/>
      <c r="H2" s="19"/>
      <c r="I2" s="19"/>
      <c r="J2" s="19"/>
    </row>
    <row r="3" spans="1:10" ht="8" customHeight="1"/>
    <row r="5" spans="1:10" ht="18" customHeight="1">
      <c r="B5" s="20" t="str">
        <f>IF(WinnerLabel="Disposable","DISPOSABLE · WINNER","DISPOSABLE")</f>
        <v>DISPOSABLE</v>
      </c>
      <c r="C5" s="20"/>
      <c r="D5" s="20"/>
      <c r="E5" s="21" t="str">
        <f>IF(WinnerLabel="Reusable","REUSABLE · WINNER",IF(WinnerLabel="Disposable","REUSABLE","TIE"))</f>
        <v>REUSABLE · WINNER</v>
      </c>
      <c r="F5" s="21"/>
      <c r="G5" s="21"/>
      <c r="H5" s="22" t="s">
        <v>73</v>
      </c>
      <c r="I5" s="22"/>
      <c r="J5" s="22"/>
    </row>
    <row r="6" spans="1:10" ht="44" customHeight="1">
      <c r="B6" s="23">
        <f>DispThreeYrPerWorker</f>
        <v>2732.4</v>
      </c>
      <c r="C6" s="23"/>
      <c r="D6" s="23"/>
      <c r="E6" s="24">
        <f>ReuThreeYrPerWorker</f>
        <v>946.825</v>
      </c>
      <c r="F6" s="24"/>
      <c r="G6" s="24"/>
      <c r="H6" s="25" t="str">
        <f>IF(BreakEvenMonth&gt;36,"Beyond 36m","Month "&amp;BreakEvenMonth)</f>
        <v>Month 1</v>
      </c>
      <c r="I6" s="25"/>
      <c r="J6" s="25"/>
    </row>
    <row r="7" spans="1:10" ht="20" customHeight="1">
      <c r="B7" s="26" t="s">
        <v>74</v>
      </c>
      <c r="C7" s="26"/>
      <c r="D7" s="26"/>
      <c r="E7" s="27" t="str">
        <f>IF(CostDelta&gt;0,"Reusable saves ",IF(CostDelta&lt;0,"Disposable saves ","Tied — "))&amp;TEXT(ABS(CostDelta),"£#,##0.00")&amp;" / worker · over 3 yrs"</f>
        <v>Reusable saves £1,785.58 / worker · over 3 yrs</v>
      </c>
      <c r="F7" s="27"/>
      <c r="G7" s="27"/>
      <c r="H7" s="28" t="str">
        <f>IF(BreakEvenMonth=0,"Reusable cheaper from month 1",IF(BreakEvenMonth&gt;36,"No break-even within 36 months","Reusable becomes cheaper from month "&amp;BreakEvenMonth))</f>
        <v>Reusable becomes cheaper from month 1</v>
      </c>
      <c r="I7" s="28"/>
      <c r="J7" s="28"/>
    </row>
    <row r="8" spans="1:10" ht="12" customHeight="1"/>
    <row r="9" spans="1:10" ht="16" customHeight="1">
      <c r="B9" s="29" t="str">
        <f>"Winner: "&amp;WinnerLabel&amp;IF(WinnerLabel="Tie",""," by "&amp;TEXT(ABS(CostDelta),"£#,##0.00")&amp;" per worker over 3 years.")</f>
        <v>Winner: Reusable by £1,785.58 per worker over 3 years.</v>
      </c>
      <c r="C9" s="29"/>
      <c r="D9" s="29"/>
      <c r="E9" s="29"/>
      <c r="F9" s="29"/>
      <c r="G9" s="29"/>
      <c r="H9" s="29"/>
      <c r="I9" s="29"/>
      <c r="J9" s="29"/>
    </row>
    <row r="10" spans="1:10" ht="8" customHeight="1"/>
    <row r="11" spans="1:10" ht="18" customHeight="1">
      <c r="B11" s="3" t="s">
        <v>75</v>
      </c>
      <c r="C11" s="3"/>
      <c r="D11" s="3"/>
      <c r="E11" s="3"/>
      <c r="F11" s="3"/>
      <c r="G11" s="3"/>
      <c r="H11" s="3"/>
      <c r="I11" s="3"/>
      <c r="J11" s="3"/>
    </row>
    <row r="12" spans="1:10" ht="32" customHeight="1">
      <c r="B12" s="23">
        <f>DispThreeYrPerWorker*Headcount</f>
        <v>136620.0</v>
      </c>
      <c r="C12" s="23"/>
      <c r="D12" s="23"/>
      <c r="E12" s="24">
        <f>ReuThreeYrPerWorker*Headcount</f>
        <v>47341.25</v>
      </c>
      <c r="F12" s="24"/>
      <c r="G12" s="24"/>
      <c r="H12" s="30">
        <f>ABS(CostDelta)*Headcount</f>
        <v>89278.75</v>
      </c>
      <c r="I12" s="30"/>
      <c r="J12" s="30"/>
    </row>
    <row r="13" spans="1:10" ht="18" customHeight="1">
      <c r="B13" s="26" t="str">
        <f>"Disposable · "&amp;Headcount&amp;" workers"</f>
        <v>Disposable · 50 workers</v>
      </c>
      <c r="C13" s="26"/>
      <c r="D13" s="26"/>
      <c r="E13" s="27" t="str">
        <f>"Reusable · "&amp;Headcount&amp;" workers"</f>
        <v>Reusable · 50 workers</v>
      </c>
      <c r="F13" s="27"/>
      <c r="G13" s="27"/>
      <c r="H13" s="28" t="str">
        <f>IF(CostDelta&gt;0,"Programme saving — reusable",IF(CostDelta&lt;0,"Programme saving — disposable","Tied across "&amp;Headcount&amp;" workers"))</f>
        <v>Programme saving — reusable</v>
      </c>
      <c r="I13" s="28"/>
      <c r="J13" s="28"/>
    </row>
    <row r="14" spans="1:10" ht="12" customHeight="1"/>
    <row r="15" spans="1:10" ht="18" customHeight="1">
      <c r="B15" s="3" t="s">
        <v>76</v>
      </c>
      <c r="C15" s="3"/>
      <c r="D15" s="3"/>
      <c r="E15" s="3"/>
      <c r="F15" s="3"/>
      <c r="G15" s="3" t="s">
        <v>77</v>
      </c>
      <c r="H15" s="3"/>
      <c r="I15" s="3"/>
      <c r="J15" s="3"/>
    </row>
    <row r="28" spans="2:10" ht="16" customHeight="1"/>
    <row r="29" spans="2:10" ht="22" customHeight="1">
      <c r="B29" s="3" t="s">
        <v>78</v>
      </c>
      <c r="C29" s="3"/>
      <c r="D29" s="3"/>
      <c r="E29" s="3"/>
      <c r="F29" s="3"/>
      <c r="G29" s="3"/>
      <c r="H29" s="3"/>
      <c r="I29" s="3"/>
      <c r="J29" s="3"/>
    </row>
    <row r="31" spans="2:10">
      <c r="B31" s="31" t="str">
        <f>"If your fit-test interval moves from "&amp;FitTestIntervalMonths&amp;" to "&amp;MAX(1,ROUND(FitTestIntervalMonths/2,0))&amp;" months, you add about "&amp;TEXT((ROUNDUP(36/MAX(1,ROUND(FitTestIntervalMonths/2,0)),0)-ROUNDUP(36/FitTestIntervalMonths,0))*(FitTestCost+FitTestLostHours*HourlyWage),"£#,##0.00")&amp;" per worker to BOTH scenarios over 3 years."</f>
        <v>If your fit-test interval moves from 24 to 12 months, you add about £97.00 per worker to BOTH scenarios over 3 years.</v>
      </c>
      <c r="C31" s="31"/>
      <c r="D31" s="31"/>
      <c r="E31" s="31" t="str">
        <f>"If filter life drops from "&amp;ReuFilterLifeShifts&amp;" to "&amp;MAX(1,ROUND(ReuFilterLifeShifts/2,0))&amp;" shifts, the reusable scenario gains about "&amp;TEXT((WorkingDays*3/MAX(1,ROUND(ReuFilterLifeShifts/2,0))-WorkingDays*3/ReuFilterLifeShifts)*ReuFilterPrice,"£#,##0.00")&amp;" of filter cost per worker."</f>
        <v>If filter life drops from 10 to 5 shifts, the reusable scenario gains about £438.75 of filter cost per worker.</v>
      </c>
      <c r="F31" s="31"/>
      <c r="G31" s="31"/>
      <c r="H31" s="31" t="str">
        <f>"If disposable unit price drops 25% (£"&amp;TEXT(DispUnitPrice,"0.00")&amp;" → £"&amp;TEXT(DispUnitPrice*0.75,"0.00")&amp;"), reusable's advantage narrows by "&amp;TEXT(WorkingDays*3*DispMasksPerShift*DispUnitPrice*0.25*(1+AdminOverhead),"£#,##0.00")&amp;" per worker over 3 years."</f>
        <v>If disposable unit price drops 25% (£3.20 → £2.40), reusable's advantage narrows by £594.00 per worker over 3 years.</v>
      </c>
      <c r="I31" s="31"/>
      <c r="J31" s="31"/>
    </row>
    <row r="34" spans="2:10">
      <c r="B34" s="9" t="s">
        <v>79</v>
      </c>
      <c r="C34" s="9"/>
      <c r="D34" s="9"/>
      <c r="E34" s="9"/>
      <c r="F34" s="9"/>
      <c r="G34" s="9"/>
      <c r="H34" s="32" t="s">
        <v>15</v>
      </c>
      <c r="I34" s="32"/>
      <c r="J34" s="32"/>
    </row>
  </sheetData>
  <sheetProtection password="CB67" sheet="1" objects="1" scenarios="1"/>
  <mergeCells count="28">
    <mergeCell ref="A1:E1"/>
    <mergeCell ref="F1:J1"/>
    <mergeCell ref="B2:J2"/>
    <mergeCell ref="B5:D5"/>
    <mergeCell ref="E5:G5"/>
    <mergeCell ref="H5:J5"/>
    <mergeCell ref="B6:D6"/>
    <mergeCell ref="E6:G6"/>
    <mergeCell ref="H6:J6"/>
    <mergeCell ref="B7:D7"/>
    <mergeCell ref="E7:G7"/>
    <mergeCell ref="H7:J7"/>
    <mergeCell ref="B9:J9"/>
    <mergeCell ref="B11:J11"/>
    <mergeCell ref="B12:D12"/>
    <mergeCell ref="E12:G12"/>
    <mergeCell ref="H12:J12"/>
    <mergeCell ref="B13:D13"/>
    <mergeCell ref="E13:G13"/>
    <mergeCell ref="H13:J13"/>
    <mergeCell ref="B15:F15"/>
    <mergeCell ref="G15:J15"/>
    <mergeCell ref="B29:J29"/>
    <mergeCell ref="B31:D31"/>
    <mergeCell ref="E31:G31"/>
    <mergeCell ref="H31:J31"/>
    <mergeCell ref="B34:G34"/>
    <mergeCell ref="H34:J34"/>
  </mergeCells>
  <conditionalFormatting sqref="B12:D12">
    <cfRule type="expression" dxfId="2" priority="7">
      <formula>WinnerLabel="Disposable"</formula>
    </cfRule>
    <cfRule type="expression" dxfId="3" priority="15">
      <formula>WinnerLabel="Tie"</formula>
    </cfRule>
  </conditionalFormatting>
  <conditionalFormatting sqref="B13:D13">
    <cfRule type="expression" dxfId="4" priority="9">
      <formula>WinnerLabel="Disposable"</formula>
    </cfRule>
    <cfRule type="expression" dxfId="5" priority="19">
      <formula>WinnerLabel="Tie"</formula>
    </cfRule>
  </conditionalFormatting>
  <conditionalFormatting sqref="B5:D5">
    <cfRule type="expression" dxfId="0" priority="1">
      <formula>WinnerLabel="Disposable"</formula>
    </cfRule>
    <cfRule type="expression" dxfId="1" priority="11">
      <formula>WinnerLabel="Tie"</formula>
    </cfRule>
  </conditionalFormatting>
  <conditionalFormatting sqref="B6:D6">
    <cfRule type="expression" dxfId="2" priority="3">
      <formula>WinnerLabel="Disposable"</formula>
    </cfRule>
    <cfRule type="expression" dxfId="3" priority="13">
      <formula>WinnerLabel="Tie"</formula>
    </cfRule>
  </conditionalFormatting>
  <conditionalFormatting sqref="B7:D7">
    <cfRule type="expression" dxfId="4" priority="5">
      <formula>WinnerLabel="Disposable"</formula>
    </cfRule>
    <cfRule type="expression" dxfId="5" priority="17">
      <formula>WinnerLabel="Tie"</formula>
    </cfRule>
  </conditionalFormatting>
  <conditionalFormatting sqref="E12:G12">
    <cfRule type="expression" dxfId="3" priority="8">
      <formula>WinnerLabel="Disposable"</formula>
    </cfRule>
    <cfRule type="expression" dxfId="3" priority="16">
      <formula>WinnerLabel="Tie"</formula>
    </cfRule>
  </conditionalFormatting>
  <conditionalFormatting sqref="E13:G13">
    <cfRule type="expression" dxfId="5" priority="10">
      <formula>WinnerLabel="Disposable"</formula>
    </cfRule>
    <cfRule type="expression" dxfId="5" priority="20">
      <formula>WinnerLabel="Tie"</formula>
    </cfRule>
  </conditionalFormatting>
  <conditionalFormatting sqref="E5:G5">
    <cfRule type="expression" dxfId="1" priority="2">
      <formula>WinnerLabel="Disposable"</formula>
    </cfRule>
    <cfRule type="expression" dxfId="1" priority="12">
      <formula>WinnerLabel="Tie"</formula>
    </cfRule>
  </conditionalFormatting>
  <conditionalFormatting sqref="E6:G6">
    <cfRule type="expression" dxfId="3" priority="4">
      <formula>WinnerLabel="Disposable"</formula>
    </cfRule>
    <cfRule type="expression" dxfId="3" priority="14">
      <formula>WinnerLabel="Tie"</formula>
    </cfRule>
  </conditionalFormatting>
  <conditionalFormatting sqref="E7:G7">
    <cfRule type="expression" dxfId="5" priority="6">
      <formula>WinnerLabel="Disposable"</formula>
    </cfRule>
    <cfRule type="expression" dxfId="5" priority="18">
      <formula>WinnerLabel="Tie"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5D6B7A"/>
  </sheetPr>
  <dimension ref="A1:O50"/>
  <sheetViews>
    <sheetView workbookViewId="0">
      <pane ySplit="4" topLeftCell="A5" activePane="bottomLeft" state="frozen"/>
      <selection pane="bottomLeft" activeCell="B4" sqref="B4"/>
    </sheetView>
  </sheetViews>
  <sheetFormatPr defaultRowHeight="15"/>
  <cols>
    <col min="1" max="1" width="2.7109375" customWidth="1"/>
    <col min="2" max="2" width="8.7109375" customWidth="1"/>
    <col min="3" max="7" width="14.7109375" customWidth="1"/>
    <col min="8" max="13" width="13.7109375" customWidth="1"/>
    <col min="14" max="15" width="26.7109375" customWidth="1"/>
  </cols>
  <sheetData>
    <row r="1" spans="1:15" ht="48" customHeight="1">
      <c r="A1" s="1" t="s">
        <v>0</v>
      </c>
      <c r="B1" s="1"/>
      <c r="C1" s="1"/>
      <c r="D1" s="1"/>
      <c r="E1" s="1"/>
      <c r="F1" s="1"/>
      <c r="G1" s="1"/>
      <c r="H1" s="1"/>
      <c r="I1" s="2" t="s">
        <v>80</v>
      </c>
      <c r="J1" s="2"/>
      <c r="K1" s="2"/>
      <c r="L1" s="2"/>
      <c r="M1" s="2"/>
      <c r="N1" s="2"/>
      <c r="O1" s="2"/>
    </row>
    <row r="2" spans="1:15" ht="26" customHeight="1">
      <c r="B2" s="8" t="s">
        <v>81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18" customHeight="1"/>
    <row r="4" spans="1:15">
      <c r="B4" s="33" t="s">
        <v>82</v>
      </c>
      <c r="C4" s="33" t="s">
        <v>83</v>
      </c>
      <c r="D4" s="33" t="s">
        <v>84</v>
      </c>
      <c r="E4" s="33" t="s">
        <v>85</v>
      </c>
      <c r="F4" s="33" t="s">
        <v>86</v>
      </c>
      <c r="G4" s="33" t="s">
        <v>87</v>
      </c>
      <c r="H4" s="33" t="s">
        <v>88</v>
      </c>
      <c r="I4" s="33" t="s">
        <v>89</v>
      </c>
      <c r="J4" s="33" t="s">
        <v>90</v>
      </c>
      <c r="K4" s="33" t="s">
        <v>91</v>
      </c>
      <c r="L4" s="33" t="s">
        <v>92</v>
      </c>
      <c r="M4" s="33" t="s">
        <v>93</v>
      </c>
    </row>
    <row r="5" spans="1:15">
      <c r="B5" s="34">
        <v>0</v>
      </c>
      <c r="C5" s="35">
        <f>( (5-5)*(WorkingDays/12)*DispMasksPerShift*(DispUnitPrice+DispDisposalCost) +ROUNDUP((5-5)/FitTestIntervalMonths,0)*(FitTestCost+FitTestLostHours*HourlyWage) +TrainingCost*(5-5)/(12*TenureYears) +SurveillanceCost*(5-5)/12 )*(1+AdminOverhead) +IF(UPPER(RiskLineOn)="ON",RiskProbDisp*RiskEventCost*(5-5)/12,0)</f>
        <v>0.0</v>
      </c>
      <c r="D5" s="35">
        <f>( (5-5)*ReuMaskCost/(ReuMaskLifetimeYears*12) +(5-5)*(WorkingDays/12)/ReuFilterLifeShifts*ReuFilterPrice +(5-5)*ReuCleaningCost/12 +ROUNDUP((5-5)/FitTestIntervalMonths,0)*(FitTestCost+FitTestLostHours*HourlyWage) +TrainingCost*(5-5)/(12*TenureYears) +SurveillanceCost*(5-5)/12 )*(1+AdminOverhead) +IF(UPPER(RiskLineOn)="ON",RiskProbReu*RiskEventCost*(5-5)/12,0)</f>
        <v>0.0</v>
      </c>
      <c r="E5" s="35">
        <f>C5-D5</f>
        <v>0.0</v>
      </c>
      <c r="F5" s="36">
        <f>IF(5=5,"",IF(D5&lt;=C5,"yes","no"))</f>
        <v/>
      </c>
      <c r="G5" s="37" t="s">
        <v>94</v>
      </c>
      <c r="H5" s="35">
        <f>WorkingDays*3*DispMasksPerShift*(DispUnitPrice+DispDisposalCost)</f>
        <v>2160.0</v>
      </c>
      <c r="I5" s="35">
        <f>ROUNDUP(36/FitTestIntervalMonths,0)*(FitTestCost+FitTestLostHours*HourlyWage)</f>
        <v>194.0</v>
      </c>
      <c r="J5" s="35">
        <f>TrainingCost*3/TenureYears</f>
        <v>40.0</v>
      </c>
      <c r="K5" s="35">
        <f>SurveillanceCost*3</f>
        <v>90.0</v>
      </c>
      <c r="L5" s="35">
        <f>(H5+I5+J5+K5)*AdminOverhead</f>
        <v>248.4</v>
      </c>
      <c r="M5" s="35">
        <f>IF(UPPER(RiskLineOn)="ON",RiskProbDisp*RiskEventCost*3,0)</f>
        <v>0.0</v>
      </c>
      <c r="N5" s="35">
        <f>IF((5-5)=BreakEvenMonth,D5,NA())</f>
        <v>0</v>
      </c>
    </row>
    <row r="6" spans="1:15">
      <c r="B6" s="34">
        <v>1</v>
      </c>
      <c r="C6" s="35">
        <f>( (6-5)*(WorkingDays/12)*DispMasksPerShift*(DispUnitPrice+DispDisposalCost) +ROUNDUP((6-5)/FitTestIntervalMonths,0)*(FitTestCost+FitTestLostHours*HourlyWage) +TrainingCost*(6-5)/(12*TenureYears) +SurveillanceCost*(6-5)/12 )*(1+AdminOverhead) +IF(UPPER(RiskLineOn)="ON",RiskProbDisp*RiskEventCost*(6-5)/12,0)</f>
        <v>176.67222222222222</v>
      </c>
      <c r="D6" s="35">
        <f>( (6-5)*ReuMaskCost/(ReuMaskLifetimeYears*12) +(6-5)*(WorkingDays/12)/ReuFilterLifeShifts*ReuFilterPrice +(6-5)*ReuCleaningCost/12 +ROUNDUP((6-5)/FitTestIntervalMonths,0)*(FitTestCost+FitTestLostHours*HourlyWage) +TrainingCost*(6-5)/(12*TenureYears) +SurveillanceCost*(6-5)/12 )*(1+AdminOverhead) +IF(UPPER(RiskLineOn)="ON",RiskProbReu*RiskEventCost*(6-5)/12,0)</f>
        <v>127.07291666666669</v>
      </c>
      <c r="E6" s="35">
        <f>C6-D6</f>
        <v>49.59930555555553</v>
      </c>
      <c r="F6" s="36" t="str">
        <f>IF(6=5,"",IF(D6&lt;=C6,"yes","no"))</f>
        <v>yes</v>
      </c>
      <c r="G6" s="37" t="s">
        <v>95</v>
      </c>
      <c r="H6" s="35">
        <f>(ReuMaskCost*3/ReuMaskLifetimeYears)+(WorkingDays*3/ReuFilterLifeShifts*ReuFilterPrice)+(ReuCleaningCost*3)</f>
        <v>536.75</v>
      </c>
      <c r="I6" s="35">
        <f>ROUNDUP(36/FitTestIntervalMonths,0)*(FitTestCost+FitTestLostHours*HourlyWage)</f>
        <v>194.0</v>
      </c>
      <c r="J6" s="35">
        <f>TrainingCost*3/TenureYears</f>
        <v>40.0</v>
      </c>
      <c r="K6" s="35">
        <f>SurveillanceCost*3</f>
        <v>90.0</v>
      </c>
      <c r="L6" s="35">
        <f>(H6+I6+J6+K6)*AdminOverhead</f>
        <v>86.075</v>
      </c>
      <c r="M6" s="35">
        <f>IF(UPPER(RiskLineOn)="ON",RiskProbReu*RiskEventCost*3,0)</f>
        <v>0.0</v>
      </c>
      <c r="N6" s="35">
        <f>IF((6-5)=BreakEvenMonth,D6,NA())</f>
        <v>127.07291666666669</v>
      </c>
    </row>
    <row r="7" spans="1:15">
      <c r="B7" s="34">
        <v>2</v>
      </c>
      <c r="C7" s="35">
        <f>( (7-5)*(WorkingDays/12)*DispMasksPerShift*(DispUnitPrice+DispDisposalCost) +ROUNDUP((7-5)/FitTestIntervalMonths,0)*(FitTestCost+FitTestLostHours*HourlyWage) +TrainingCost*(7-5)/(12*TenureYears) +SurveillanceCost*(7-5)/12 )*(1+AdminOverhead) +IF(UPPER(RiskLineOn)="ON",RiskProbDisp*RiskEventCost*(7-5)/12,0)</f>
        <v>246.64444444444445</v>
      </c>
      <c r="D7" s="35">
        <f>( (7-5)*ReuMaskCost/(ReuMaskLifetimeYears*12) +(7-5)*(WorkingDays/12)/ReuFilterLifeShifts*ReuFilterPrice +(7-5)*ReuCleaningCost/12 +ROUNDUP((7-5)/FitTestIntervalMonths,0)*(FitTestCost+FitTestLostHours*HourlyWage) +TrainingCost*(7-5)/(12*TenureYears) +SurveillanceCost*(7-5)/12 )*(1+AdminOverhead) +IF(UPPER(RiskLineOn)="ON",RiskProbReu*RiskEventCost*(7-5)/12,0)</f>
        <v>147.44583333333333</v>
      </c>
      <c r="E7" s="35">
        <f>C7-D7</f>
        <v>99.19861111111112</v>
      </c>
      <c r="F7" s="36" t="str">
        <f>IF(7=5,"",IF(D7&lt;=C7,"yes","no"))</f>
        <v>yes</v>
      </c>
      <c r="N7" s="35">
        <f>IF((7-5)=BreakEvenMonth,D7,NA())</f>
        <v>0</v>
      </c>
    </row>
    <row r="8" spans="1:15">
      <c r="B8" s="34">
        <v>3</v>
      </c>
      <c r="C8" s="35">
        <f>( (8-5)*(WorkingDays/12)*DispMasksPerShift*(DispUnitPrice+DispDisposalCost) +ROUNDUP((8-5)/FitTestIntervalMonths,0)*(FitTestCost+FitTestLostHours*HourlyWage) +TrainingCost*(8-5)/(12*TenureYears) +SurveillanceCost*(8-5)/12 )*(1+AdminOverhead) +IF(UPPER(RiskLineOn)="ON",RiskProbDisp*RiskEventCost*(8-5)/12,0)</f>
        <v>316.6166666666667</v>
      </c>
      <c r="D8" s="35">
        <f>( (8-5)*ReuMaskCost/(ReuMaskLifetimeYears*12) +(8-5)*(WorkingDays/12)/ReuFilterLifeShifts*ReuFilterPrice +(8-5)*ReuCleaningCost/12 +ROUNDUP((8-5)/FitTestIntervalMonths,0)*(FitTestCost+FitTestLostHours*HourlyWage) +TrainingCost*(8-5)/(12*TenureYears) +SurveillanceCost*(8-5)/12 )*(1+AdminOverhead) +IF(UPPER(RiskLineOn)="ON",RiskProbReu*RiskEventCost*(8-5)/12,0)</f>
        <v>167.81875</v>
      </c>
      <c r="E8" s="35">
        <f>C8-D8</f>
        <v>148.79791666666668</v>
      </c>
      <c r="F8" s="36" t="str">
        <f>IF(8=5,"",IF(D8&lt;=C8,"yes","no"))</f>
        <v>yes</v>
      </c>
      <c r="N8" s="35">
        <f>IF((8-5)=BreakEvenMonth,D8,NA())</f>
        <v>0</v>
      </c>
    </row>
    <row r="9" spans="1:15">
      <c r="B9" s="34">
        <v>4</v>
      </c>
      <c r="C9" s="35">
        <f>( (9-5)*(WorkingDays/12)*DispMasksPerShift*(DispUnitPrice+DispDisposalCost) +ROUNDUP((9-5)/FitTestIntervalMonths,0)*(FitTestCost+FitTestLostHours*HourlyWage) +TrainingCost*(9-5)/(12*TenureYears) +SurveillanceCost*(9-5)/12 )*(1+AdminOverhead) +IF(UPPER(RiskLineOn)="ON",RiskProbDisp*RiskEventCost*(9-5)/12,0)</f>
        <v>386.5888888888889</v>
      </c>
      <c r="D9" s="35">
        <f>( (9-5)*ReuMaskCost/(ReuMaskLifetimeYears*12) +(9-5)*(WorkingDays/12)/ReuFilterLifeShifts*ReuFilterPrice +(9-5)*ReuCleaningCost/12 +ROUNDUP((9-5)/FitTestIntervalMonths,0)*(FitTestCost+FitTestLostHours*HourlyWage) +TrainingCost*(9-5)/(12*TenureYears) +SurveillanceCost*(9-5)/12 )*(1+AdminOverhead) +IF(UPPER(RiskLineOn)="ON",RiskProbReu*RiskEventCost*(9-5)/12,0)</f>
        <v>188.19166666666666</v>
      </c>
      <c r="E9" s="35">
        <f>C9-D9</f>
        <v>198.39722222222224</v>
      </c>
      <c r="F9" s="36" t="str">
        <f>IF(9=5,"",IF(D9&lt;=C9,"yes","no"))</f>
        <v>yes</v>
      </c>
      <c r="N9" s="35">
        <f>IF((9-5)=BreakEvenMonth,D9,NA())</f>
        <v>0</v>
      </c>
    </row>
    <row r="10" spans="1:15">
      <c r="B10" s="34">
        <v>5</v>
      </c>
      <c r="C10" s="35">
        <f>( (10-5)*(WorkingDays/12)*DispMasksPerShift*(DispUnitPrice+DispDisposalCost) +ROUNDUP((10-5)/FitTestIntervalMonths,0)*(FitTestCost+FitTestLostHours*HourlyWage) +TrainingCost*(10-5)/(12*TenureYears) +SurveillanceCost*(10-5)/12 )*(1+AdminOverhead) +IF(UPPER(RiskLineOn)="ON",RiskProbDisp*RiskEventCost*(10-5)/12,0)</f>
        <v>456.56111111111113</v>
      </c>
      <c r="D10" s="35">
        <f>( (10-5)*ReuMaskCost/(ReuMaskLifetimeYears*12) +(10-5)*(WorkingDays/12)/ReuFilterLifeShifts*ReuFilterPrice +(10-5)*ReuCleaningCost/12 +ROUNDUP((10-5)/FitTestIntervalMonths,0)*(FitTestCost+FitTestLostHours*HourlyWage) +TrainingCost*(10-5)/(12*TenureYears) +SurveillanceCost*(10-5)/12 )*(1+AdminOverhead) +IF(UPPER(RiskLineOn)="ON",RiskProbReu*RiskEventCost*(10-5)/12,0)</f>
        <v>208.5645833333333</v>
      </c>
      <c r="E10" s="35">
        <f>C10-D10</f>
        <v>247.99652777777783</v>
      </c>
      <c r="F10" s="36" t="str">
        <f>IF(10=5,"",IF(D10&lt;=C10,"yes","no"))</f>
        <v>yes</v>
      </c>
      <c r="N10" s="35">
        <f>IF((10-5)=BreakEvenMonth,D10,NA())</f>
        <v>0</v>
      </c>
    </row>
    <row r="11" spans="1:15">
      <c r="B11" s="34">
        <v>6</v>
      </c>
      <c r="C11" s="35">
        <f>( (11-5)*(WorkingDays/12)*DispMasksPerShift*(DispUnitPrice+DispDisposalCost) +ROUNDUP((11-5)/FitTestIntervalMonths,0)*(FitTestCost+FitTestLostHours*HourlyWage) +TrainingCost*(11-5)/(12*TenureYears) +SurveillanceCost*(11-5)/12 )*(1+AdminOverhead) +IF(UPPER(RiskLineOn)="ON",RiskProbDisp*RiskEventCost*(11-5)/12,0)</f>
        <v>526.5333333333333</v>
      </c>
      <c r="D11" s="35">
        <f>( (11-5)*ReuMaskCost/(ReuMaskLifetimeYears*12) +(11-5)*(WorkingDays/12)/ReuFilterLifeShifts*ReuFilterPrice +(11-5)*ReuCleaningCost/12 +ROUNDUP((11-5)/FitTestIntervalMonths,0)*(FitTestCost+FitTestLostHours*HourlyWage) +TrainingCost*(11-5)/(12*TenureYears) +SurveillanceCost*(11-5)/12 )*(1+AdminOverhead) +IF(UPPER(RiskLineOn)="ON",RiskProbReu*RiskEventCost*(11-5)/12,0)</f>
        <v>228.93749999999997</v>
      </c>
      <c r="E11" s="35">
        <f>C11-D11</f>
        <v>297.5958333333333</v>
      </c>
      <c r="F11" s="36" t="str">
        <f>IF(11=5,"",IF(D11&lt;=C11,"yes","no"))</f>
        <v>yes</v>
      </c>
      <c r="N11" s="35">
        <f>IF((11-5)=BreakEvenMonth,D11,NA())</f>
        <v>0</v>
      </c>
    </row>
    <row r="12" spans="1:15">
      <c r="B12" s="34">
        <v>7</v>
      </c>
      <c r="C12" s="35">
        <f>( (12-5)*(WorkingDays/12)*DispMasksPerShift*(DispUnitPrice+DispDisposalCost) +ROUNDUP((12-5)/FitTestIntervalMonths,0)*(FitTestCost+FitTestLostHours*HourlyWage) +TrainingCost*(12-5)/(12*TenureYears) +SurveillanceCost*(12-5)/12 )*(1+AdminOverhead) +IF(UPPER(RiskLineOn)="ON",RiskProbDisp*RiskEventCost*(12-5)/12,0)</f>
        <v>596.5055555555556</v>
      </c>
      <c r="D12" s="35">
        <f>( (12-5)*ReuMaskCost/(ReuMaskLifetimeYears*12) +(12-5)*(WorkingDays/12)/ReuFilterLifeShifts*ReuFilterPrice +(12-5)*ReuCleaningCost/12 +ROUNDUP((12-5)/FitTestIntervalMonths,0)*(FitTestCost+FitTestLostHours*HourlyWage) +TrainingCost*(12-5)/(12*TenureYears) +SurveillanceCost*(12-5)/12 )*(1+AdminOverhead) +IF(UPPER(RiskLineOn)="ON",RiskProbReu*RiskEventCost*(12-5)/12,0)</f>
        <v>249.31041666666664</v>
      </c>
      <c r="E12" s="35">
        <f>C12-D12</f>
        <v>347.19513888888895</v>
      </c>
      <c r="F12" s="36" t="str">
        <f>IF(12=5,"",IF(D12&lt;=C12,"yes","no"))</f>
        <v>yes</v>
      </c>
      <c r="N12" s="35">
        <f>IF((12-5)=BreakEvenMonth,D12,NA())</f>
        <v>0</v>
      </c>
    </row>
    <row r="13" spans="1:15">
      <c r="B13" s="34">
        <v>8</v>
      </c>
      <c r="C13" s="35">
        <f>( (13-5)*(WorkingDays/12)*DispMasksPerShift*(DispUnitPrice+DispDisposalCost) +ROUNDUP((13-5)/FitTestIntervalMonths,0)*(FitTestCost+FitTestLostHours*HourlyWage) +TrainingCost*(13-5)/(12*TenureYears) +SurveillanceCost*(13-5)/12 )*(1+AdminOverhead) +IF(UPPER(RiskLineOn)="ON",RiskProbDisp*RiskEventCost*(13-5)/12,0)</f>
        <v>666.4777777777778</v>
      </c>
      <c r="D13" s="35">
        <f>( (13-5)*ReuMaskCost/(ReuMaskLifetimeYears*12) +(13-5)*(WorkingDays/12)/ReuFilterLifeShifts*ReuFilterPrice +(13-5)*ReuCleaningCost/12 +ROUNDUP((13-5)/FitTestIntervalMonths,0)*(FitTestCost+FitTestLostHours*HourlyWage) +TrainingCost*(13-5)/(12*TenureYears) +SurveillanceCost*(13-5)/12 )*(1+AdminOverhead) +IF(UPPER(RiskLineOn)="ON",RiskProbReu*RiskEventCost*(13-5)/12,0)</f>
        <v>269.68333333333334</v>
      </c>
      <c r="E13" s="35">
        <f>C13-D13</f>
        <v>396.7944444444444</v>
      </c>
      <c r="F13" s="36" t="str">
        <f>IF(13=5,"",IF(D13&lt;=C13,"yes","no"))</f>
        <v>yes</v>
      </c>
      <c r="N13" s="35">
        <f>IF((13-5)=BreakEvenMonth,D13,NA())</f>
        <v>0</v>
      </c>
    </row>
    <row r="14" spans="1:15">
      <c r="B14" s="34">
        <v>9</v>
      </c>
      <c r="C14" s="35">
        <f>( (14-5)*(WorkingDays/12)*DispMasksPerShift*(DispUnitPrice+DispDisposalCost) +ROUNDUP((14-5)/FitTestIntervalMonths,0)*(FitTestCost+FitTestLostHours*HourlyWage) +TrainingCost*(14-5)/(12*TenureYears) +SurveillanceCost*(14-5)/12 )*(1+AdminOverhead) +IF(UPPER(RiskLineOn)="ON",RiskProbDisp*RiskEventCost*(14-5)/12,0)</f>
        <v>736.45</v>
      </c>
      <c r="D14" s="35">
        <f>( (14-5)*ReuMaskCost/(ReuMaskLifetimeYears*12) +(14-5)*(WorkingDays/12)/ReuFilterLifeShifts*ReuFilterPrice +(14-5)*ReuCleaningCost/12 +ROUNDUP((14-5)/FitTestIntervalMonths,0)*(FitTestCost+FitTestLostHours*HourlyWage) +TrainingCost*(14-5)/(12*TenureYears) +SurveillanceCost*(14-5)/12 )*(1+AdminOverhead) +IF(UPPER(RiskLineOn)="ON",RiskProbReu*RiskEventCost*(14-5)/12,0)</f>
        <v>290.05625</v>
      </c>
      <c r="E14" s="35">
        <f>C14-D14</f>
        <v>446.39375000000007</v>
      </c>
      <c r="F14" s="36" t="str">
        <f>IF(14=5,"",IF(D14&lt;=C14,"yes","no"))</f>
        <v>yes</v>
      </c>
      <c r="N14" s="35">
        <f>IF((14-5)=BreakEvenMonth,D14,NA())</f>
        <v>0</v>
      </c>
    </row>
    <row r="15" spans="1:15">
      <c r="B15" s="34">
        <v>10</v>
      </c>
      <c r="C15" s="35">
        <f>( (15-5)*(WorkingDays/12)*DispMasksPerShift*(DispUnitPrice+DispDisposalCost) +ROUNDUP((15-5)/FitTestIntervalMonths,0)*(FitTestCost+FitTestLostHours*HourlyWage) +TrainingCost*(15-5)/(12*TenureYears) +SurveillanceCost*(15-5)/12 )*(1+AdminOverhead) +IF(UPPER(RiskLineOn)="ON",RiskProbDisp*RiskEventCost*(15-5)/12,0)</f>
        <v>806.4222222222222</v>
      </c>
      <c r="D15" s="35">
        <f>( (15-5)*ReuMaskCost/(ReuMaskLifetimeYears*12) +(15-5)*(WorkingDays/12)/ReuFilterLifeShifts*ReuFilterPrice +(15-5)*ReuCleaningCost/12 +ROUNDUP((15-5)/FitTestIntervalMonths,0)*(FitTestCost+FitTestLostHours*HourlyWage) +TrainingCost*(15-5)/(12*TenureYears) +SurveillanceCost*(15-5)/12 )*(1+AdminOverhead) +IF(UPPER(RiskLineOn)="ON",RiskProbReu*RiskEventCost*(15-5)/12,0)</f>
        <v>310.4291666666667</v>
      </c>
      <c r="E15" s="35">
        <f>C15-D15</f>
        <v>495.99305555555554</v>
      </c>
      <c r="F15" s="36" t="str">
        <f>IF(15=5,"",IF(D15&lt;=C15,"yes","no"))</f>
        <v>yes</v>
      </c>
      <c r="N15" s="35">
        <f>IF((15-5)=BreakEvenMonth,D15,NA())</f>
        <v>0</v>
      </c>
    </row>
    <row r="16" spans="1:15">
      <c r="B16" s="34">
        <v>11</v>
      </c>
      <c r="C16" s="35">
        <f>( (16-5)*(WorkingDays/12)*DispMasksPerShift*(DispUnitPrice+DispDisposalCost) +ROUNDUP((16-5)/FitTestIntervalMonths,0)*(FitTestCost+FitTestLostHours*HourlyWage) +TrainingCost*(16-5)/(12*TenureYears) +SurveillanceCost*(16-5)/12 )*(1+AdminOverhead) +IF(UPPER(RiskLineOn)="ON",RiskProbDisp*RiskEventCost*(16-5)/12,0)</f>
        <v>876.3944444444444</v>
      </c>
      <c r="D16" s="35">
        <f>( (16-5)*ReuMaskCost/(ReuMaskLifetimeYears*12) +(16-5)*(WorkingDays/12)/ReuFilterLifeShifts*ReuFilterPrice +(16-5)*ReuCleaningCost/12 +ROUNDUP((16-5)/FitTestIntervalMonths,0)*(FitTestCost+FitTestLostHours*HourlyWage) +TrainingCost*(16-5)/(12*TenureYears) +SurveillanceCost*(16-5)/12 )*(1+AdminOverhead) +IF(UPPER(RiskLineOn)="ON",RiskProbReu*RiskEventCost*(16-5)/12,0)</f>
        <v>330.80208333333337</v>
      </c>
      <c r="E16" s="35">
        <f>C16-D16</f>
        <v>545.592361111111</v>
      </c>
      <c r="F16" s="36" t="str">
        <f>IF(16=5,"",IF(D16&lt;=C16,"yes","no"))</f>
        <v>yes</v>
      </c>
      <c r="N16" s="35">
        <f>IF((16-5)=BreakEvenMonth,D16,NA())</f>
        <v>0</v>
      </c>
    </row>
    <row r="17" spans="2:14">
      <c r="B17" s="34">
        <v>12</v>
      </c>
      <c r="C17" s="35">
        <f>( (17-5)*(WorkingDays/12)*DispMasksPerShift*(DispUnitPrice+DispDisposalCost) +ROUNDUP((17-5)/FitTestIntervalMonths,0)*(FitTestCost+FitTestLostHours*HourlyWage) +TrainingCost*(17-5)/(12*TenureYears) +SurveillanceCost*(17-5)/12 )*(1+AdminOverhead) +IF(UPPER(RiskLineOn)="ON",RiskProbDisp*RiskEventCost*(17-5)/12,0)</f>
        <v>946.3666666666667</v>
      </c>
      <c r="D17" s="35">
        <f>( (17-5)*ReuMaskCost/(ReuMaskLifetimeYears*12) +(17-5)*(WorkingDays/12)/ReuFilterLifeShifts*ReuFilterPrice +(17-5)*ReuCleaningCost/12 +ROUNDUP((17-5)/FitTestIntervalMonths,0)*(FitTestCost+FitTestLostHours*HourlyWage) +TrainingCost*(17-5)/(12*TenureYears) +SurveillanceCost*(17-5)/12 )*(1+AdminOverhead) +IF(UPPER(RiskLineOn)="ON",RiskProbReu*RiskEventCost*(17-5)/12,0)</f>
        <v>351.17499999999995</v>
      </c>
      <c r="E17" s="35">
        <f>C17-D17</f>
        <v>595.1916666666667</v>
      </c>
      <c r="F17" s="36" t="str">
        <f>IF(17=5,"",IF(D17&lt;=C17,"yes","no"))</f>
        <v>yes</v>
      </c>
      <c r="N17" s="35">
        <f>IF((17-5)=BreakEvenMonth,D17,NA())</f>
        <v>0</v>
      </c>
    </row>
    <row r="18" spans="2:14">
      <c r="B18" s="34">
        <v>13</v>
      </c>
      <c r="C18" s="35">
        <f>( (18-5)*(WorkingDays/12)*DispMasksPerShift*(DispUnitPrice+DispDisposalCost) +ROUNDUP((18-5)/FitTestIntervalMonths,0)*(FitTestCost+FitTestLostHours*HourlyWage) +TrainingCost*(18-5)/(12*TenureYears) +SurveillanceCost*(18-5)/12 )*(1+AdminOverhead) +IF(UPPER(RiskLineOn)="ON",RiskProbDisp*RiskEventCost*(18-5)/12,0)</f>
        <v>1016.338888888889</v>
      </c>
      <c r="D18" s="35">
        <f>( (18-5)*ReuMaskCost/(ReuMaskLifetimeYears*12) +(18-5)*(WorkingDays/12)/ReuFilterLifeShifts*ReuFilterPrice +(18-5)*ReuCleaningCost/12 +ROUNDUP((18-5)/FitTestIntervalMonths,0)*(FitTestCost+FitTestLostHours*HourlyWage) +TrainingCost*(18-5)/(12*TenureYears) +SurveillanceCost*(18-5)/12 )*(1+AdminOverhead) +IF(UPPER(RiskLineOn)="ON",RiskProbReu*RiskEventCost*(18-5)/12,0)</f>
        <v>371.5479166666667</v>
      </c>
      <c r="E18" s="35">
        <f>C18-D18</f>
        <v>644.7909722222223</v>
      </c>
      <c r="F18" s="36" t="str">
        <f>IF(18=5,"",IF(D18&lt;=C18,"yes","no"))</f>
        <v>yes</v>
      </c>
      <c r="N18" s="35">
        <f>IF((18-5)=BreakEvenMonth,D18,NA())</f>
        <v>0</v>
      </c>
    </row>
    <row r="19" spans="2:14">
      <c r="B19" s="34">
        <v>14</v>
      </c>
      <c r="C19" s="35">
        <f>( (19-5)*(WorkingDays/12)*DispMasksPerShift*(DispUnitPrice+DispDisposalCost) +ROUNDUP((19-5)/FitTestIntervalMonths,0)*(FitTestCost+FitTestLostHours*HourlyWage) +TrainingCost*(19-5)/(12*TenureYears) +SurveillanceCost*(19-5)/12 )*(1+AdminOverhead) +IF(UPPER(RiskLineOn)="ON",RiskProbDisp*RiskEventCost*(19-5)/12,0)</f>
        <v>1086.3111111111111</v>
      </c>
      <c r="D19" s="35">
        <f>( (19-5)*ReuMaskCost/(ReuMaskLifetimeYears*12) +(19-5)*(WorkingDays/12)/ReuFilterLifeShifts*ReuFilterPrice +(19-5)*ReuCleaningCost/12 +ROUNDUP((19-5)/FitTestIntervalMonths,0)*(FitTestCost+FitTestLostHours*HourlyWage) +TrainingCost*(19-5)/(12*TenureYears) +SurveillanceCost*(19-5)/12 )*(1+AdminOverhead) +IF(UPPER(RiskLineOn)="ON",RiskProbReu*RiskEventCost*(19-5)/12,0)</f>
        <v>391.9208333333333</v>
      </c>
      <c r="E19" s="35">
        <f>C19-D19</f>
        <v>694.3902777777778</v>
      </c>
      <c r="F19" s="36" t="str">
        <f>IF(19=5,"",IF(D19&lt;=C19,"yes","no"))</f>
        <v>yes</v>
      </c>
      <c r="N19" s="35">
        <f>IF((19-5)=BreakEvenMonth,D19,NA())</f>
        <v>0</v>
      </c>
    </row>
    <row r="20" spans="2:14">
      <c r="B20" s="34">
        <v>15</v>
      </c>
      <c r="C20" s="35">
        <f>( (20-5)*(WorkingDays/12)*DispMasksPerShift*(DispUnitPrice+DispDisposalCost) +ROUNDUP((20-5)/FitTestIntervalMonths,0)*(FitTestCost+FitTestLostHours*HourlyWage) +TrainingCost*(20-5)/(12*TenureYears) +SurveillanceCost*(20-5)/12 )*(1+AdminOverhead) +IF(UPPER(RiskLineOn)="ON",RiskProbDisp*RiskEventCost*(20-5)/12,0)</f>
        <v>1156.283333333333</v>
      </c>
      <c r="D20" s="35">
        <f>( (20-5)*ReuMaskCost/(ReuMaskLifetimeYears*12) +(20-5)*(WorkingDays/12)/ReuFilterLifeShifts*ReuFilterPrice +(20-5)*ReuCleaningCost/12 +ROUNDUP((20-5)/FitTestIntervalMonths,0)*(FitTestCost+FitTestLostHours*HourlyWage) +TrainingCost*(20-5)/(12*TenureYears) +SurveillanceCost*(20-5)/12 )*(1+AdminOverhead) +IF(UPPER(RiskLineOn)="ON",RiskProbReu*RiskEventCost*(20-5)/12,0)</f>
        <v>412.29375000000005</v>
      </c>
      <c r="E20" s="35">
        <f>C20-D20</f>
        <v>743.989583333333</v>
      </c>
      <c r="F20" s="36" t="str">
        <f>IF(20=5,"",IF(D20&lt;=C20,"yes","no"))</f>
        <v>yes</v>
      </c>
      <c r="N20" s="35">
        <f>IF((20-5)=BreakEvenMonth,D20,NA())</f>
        <v>0</v>
      </c>
    </row>
    <row r="21" spans="2:14">
      <c r="B21" s="34">
        <v>16</v>
      </c>
      <c r="C21" s="35">
        <f>( (21-5)*(WorkingDays/12)*DispMasksPerShift*(DispUnitPrice+DispDisposalCost) +ROUNDUP((21-5)/FitTestIntervalMonths,0)*(FitTestCost+FitTestLostHours*HourlyWage) +TrainingCost*(21-5)/(12*TenureYears) +SurveillanceCost*(21-5)/12 )*(1+AdminOverhead) +IF(UPPER(RiskLineOn)="ON",RiskProbDisp*RiskEventCost*(21-5)/12,0)</f>
        <v>1226.2555555555557</v>
      </c>
      <c r="D21" s="35">
        <f>( (21-5)*ReuMaskCost/(ReuMaskLifetimeYears*12) +(21-5)*(WorkingDays/12)/ReuFilterLifeShifts*ReuFilterPrice +(21-5)*ReuCleaningCost/12 +ROUNDUP((21-5)/FitTestIntervalMonths,0)*(FitTestCost+FitTestLostHours*HourlyWage) +TrainingCost*(21-5)/(12*TenureYears) +SurveillanceCost*(21-5)/12 )*(1+AdminOverhead) +IF(UPPER(RiskLineOn)="ON",RiskProbReu*RiskEventCost*(21-5)/12,0)</f>
        <v>432.66666666666663</v>
      </c>
      <c r="E21" s="35">
        <f>C21-D21</f>
        <v>793.5888888888891</v>
      </c>
      <c r="F21" s="36" t="str">
        <f>IF(21=5,"",IF(D21&lt;=C21,"yes","no"))</f>
        <v>yes</v>
      </c>
      <c r="N21" s="35">
        <f>IF((21-5)=BreakEvenMonth,D21,NA())</f>
        <v>0</v>
      </c>
    </row>
    <row r="22" spans="2:14">
      <c r="B22" s="34">
        <v>17</v>
      </c>
      <c r="C22" s="35">
        <f>( (22-5)*(WorkingDays/12)*DispMasksPerShift*(DispUnitPrice+DispDisposalCost) +ROUNDUP((22-5)/FitTestIntervalMonths,0)*(FitTestCost+FitTestLostHours*HourlyWage) +TrainingCost*(22-5)/(12*TenureYears) +SurveillanceCost*(22-5)/12 )*(1+AdminOverhead) +IF(UPPER(RiskLineOn)="ON",RiskProbDisp*RiskEventCost*(22-5)/12,0)</f>
        <v>1296.2277777777779</v>
      </c>
      <c r="D22" s="35">
        <f>( (22-5)*ReuMaskCost/(ReuMaskLifetimeYears*12) +(22-5)*(WorkingDays/12)/ReuFilterLifeShifts*ReuFilterPrice +(22-5)*ReuCleaningCost/12 +ROUNDUP((22-5)/FitTestIntervalMonths,0)*(FitTestCost+FitTestLostHours*HourlyWage) +TrainingCost*(22-5)/(12*TenureYears) +SurveillanceCost*(22-5)/12 )*(1+AdminOverhead) +IF(UPPER(RiskLineOn)="ON",RiskProbReu*RiskEventCost*(22-5)/12,0)</f>
        <v>453.03958333333344</v>
      </c>
      <c r="E22" s="35">
        <f>C22-D22</f>
        <v>843.1881944444444</v>
      </c>
      <c r="F22" s="36" t="str">
        <f>IF(22=5,"",IF(D22&lt;=C22,"yes","no"))</f>
        <v>yes</v>
      </c>
      <c r="N22" s="35">
        <f>IF((22-5)=BreakEvenMonth,D22,NA())</f>
        <v>0</v>
      </c>
    </row>
    <row r="23" spans="2:14">
      <c r="B23" s="34">
        <v>18</v>
      </c>
      <c r="C23" s="35">
        <f>( (23-5)*(WorkingDays/12)*DispMasksPerShift*(DispUnitPrice+DispDisposalCost) +ROUNDUP((23-5)/FitTestIntervalMonths,0)*(FitTestCost+FitTestLostHours*HourlyWage) +TrainingCost*(23-5)/(12*TenureYears) +SurveillanceCost*(23-5)/12 )*(1+AdminOverhead) +IF(UPPER(RiskLineOn)="ON",RiskProbDisp*RiskEventCost*(23-5)/12,0)</f>
        <v>1366.2</v>
      </c>
      <c r="D23" s="35">
        <f>( (23-5)*ReuMaskCost/(ReuMaskLifetimeYears*12) +(23-5)*(WorkingDays/12)/ReuFilterLifeShifts*ReuFilterPrice +(23-5)*ReuCleaningCost/12 +ROUNDUP((23-5)/FitTestIntervalMonths,0)*(FitTestCost+FitTestLostHours*HourlyWage) +TrainingCost*(23-5)/(12*TenureYears) +SurveillanceCost*(23-5)/12 )*(1+AdminOverhead) +IF(UPPER(RiskLineOn)="ON",RiskProbReu*RiskEventCost*(23-5)/12,0)</f>
        <v>473.4125</v>
      </c>
      <c r="E23" s="35">
        <f>C23-D23</f>
        <v>892.7875</v>
      </c>
      <c r="F23" s="36" t="str">
        <f>IF(23=5,"",IF(D23&lt;=C23,"yes","no"))</f>
        <v>yes</v>
      </c>
      <c r="N23" s="35">
        <f>IF((23-5)=BreakEvenMonth,D23,NA())</f>
        <v>0</v>
      </c>
    </row>
    <row r="24" spans="2:14">
      <c r="B24" s="34">
        <v>19</v>
      </c>
      <c r="C24" s="35">
        <f>( (24-5)*(WorkingDays/12)*DispMasksPerShift*(DispUnitPrice+DispDisposalCost) +ROUNDUP((24-5)/FitTestIntervalMonths,0)*(FitTestCost+FitTestLostHours*HourlyWage) +TrainingCost*(24-5)/(12*TenureYears) +SurveillanceCost*(24-5)/12 )*(1+AdminOverhead) +IF(UPPER(RiskLineOn)="ON",RiskProbDisp*RiskEventCost*(24-5)/12,0)</f>
        <v>1436.1722222222222</v>
      </c>
      <c r="D24" s="35">
        <f>( (24-5)*ReuMaskCost/(ReuMaskLifetimeYears*12) +(24-5)*(WorkingDays/12)/ReuFilterLifeShifts*ReuFilterPrice +(24-5)*ReuCleaningCost/12 +ROUNDUP((24-5)/FitTestIntervalMonths,0)*(FitTestCost+FitTestLostHours*HourlyWage) +TrainingCost*(24-5)/(12*TenureYears) +SurveillanceCost*(24-5)/12 )*(1+AdminOverhead) +IF(UPPER(RiskLineOn)="ON",RiskProbReu*RiskEventCost*(24-5)/12,0)</f>
        <v>493.78541666666666</v>
      </c>
      <c r="E24" s="35">
        <f>C24-D24</f>
        <v>942.3868055555556</v>
      </c>
      <c r="F24" s="36" t="str">
        <f>IF(24=5,"",IF(D24&lt;=C24,"yes","no"))</f>
        <v>yes</v>
      </c>
      <c r="N24" s="35">
        <f>IF((24-5)=BreakEvenMonth,D24,NA())</f>
        <v>0</v>
      </c>
    </row>
    <row r="25" spans="2:14">
      <c r="B25" s="34">
        <v>20</v>
      </c>
      <c r="C25" s="35">
        <f>( (25-5)*(WorkingDays/12)*DispMasksPerShift*(DispUnitPrice+DispDisposalCost) +ROUNDUP((25-5)/FitTestIntervalMonths,0)*(FitTestCost+FitTestLostHours*HourlyWage) +TrainingCost*(25-5)/(12*TenureYears) +SurveillanceCost*(25-5)/12 )*(1+AdminOverhead) +IF(UPPER(RiskLineOn)="ON",RiskProbDisp*RiskEventCost*(25-5)/12,0)</f>
        <v>1506.1444444444444</v>
      </c>
      <c r="D25" s="35">
        <f>( (25-5)*ReuMaskCost/(ReuMaskLifetimeYears*12) +(25-5)*(WorkingDays/12)/ReuFilterLifeShifts*ReuFilterPrice +(25-5)*ReuCleaningCost/12 +ROUNDUP((25-5)/FitTestIntervalMonths,0)*(FitTestCost+FitTestLostHours*HourlyWage) +TrainingCost*(25-5)/(12*TenureYears) +SurveillanceCost*(25-5)/12 )*(1+AdminOverhead) +IF(UPPER(RiskLineOn)="ON",RiskProbReu*RiskEventCost*(25-5)/12,0)</f>
        <v>514.1583333333333</v>
      </c>
      <c r="E25" s="35">
        <f>C25-D25</f>
        <v>991.9861111111111</v>
      </c>
      <c r="F25" s="36" t="str">
        <f>IF(25=5,"",IF(D25&lt;=C25,"yes","no"))</f>
        <v>yes</v>
      </c>
      <c r="N25" s="35">
        <f>IF((25-5)=BreakEvenMonth,D25,NA())</f>
        <v>0</v>
      </c>
    </row>
    <row r="26" spans="2:14">
      <c r="B26" s="34">
        <v>21</v>
      </c>
      <c r="C26" s="35">
        <f>( (26-5)*(WorkingDays/12)*DispMasksPerShift*(DispUnitPrice+DispDisposalCost) +ROUNDUP((26-5)/FitTestIntervalMonths,0)*(FitTestCost+FitTestLostHours*HourlyWage) +TrainingCost*(26-5)/(12*TenureYears) +SurveillanceCost*(26-5)/12 )*(1+AdminOverhead) +IF(UPPER(RiskLineOn)="ON",RiskProbDisp*RiskEventCost*(26-5)/12,0)</f>
        <v>1576.1166666666666</v>
      </c>
      <c r="D26" s="35">
        <f>( (26-5)*ReuMaskCost/(ReuMaskLifetimeYears*12) +(26-5)*(WorkingDays/12)/ReuFilterLifeShifts*ReuFilterPrice +(26-5)*ReuCleaningCost/12 +ROUNDUP((26-5)/FitTestIntervalMonths,0)*(FitTestCost+FitTestLostHours*HourlyWage) +TrainingCost*(26-5)/(12*TenureYears) +SurveillanceCost*(26-5)/12 )*(1+AdminOverhead) +IF(UPPER(RiskLineOn)="ON",RiskProbReu*RiskEventCost*(26-5)/12,0)</f>
        <v>534.53125</v>
      </c>
      <c r="E26" s="35">
        <f>C26-D26</f>
        <v>1041.5854166666666</v>
      </c>
      <c r="F26" s="36" t="str">
        <f>IF(26=5,"",IF(D26&lt;=C26,"yes","no"))</f>
        <v>yes</v>
      </c>
      <c r="N26" s="35">
        <f>IF((26-5)=BreakEvenMonth,D26,NA())</f>
        <v>0</v>
      </c>
    </row>
    <row r="27" spans="2:14">
      <c r="B27" s="34">
        <v>22</v>
      </c>
      <c r="C27" s="35">
        <f>( (27-5)*(WorkingDays/12)*DispMasksPerShift*(DispUnitPrice+DispDisposalCost) +ROUNDUP((27-5)/FitTestIntervalMonths,0)*(FitTestCost+FitTestLostHours*HourlyWage) +TrainingCost*(27-5)/(12*TenureYears) +SurveillanceCost*(27-5)/12 )*(1+AdminOverhead) +IF(UPPER(RiskLineOn)="ON",RiskProbDisp*RiskEventCost*(27-5)/12,0)</f>
        <v>1646.0888888888887</v>
      </c>
      <c r="D27" s="35">
        <f>( (27-5)*ReuMaskCost/(ReuMaskLifetimeYears*12) +(27-5)*(WorkingDays/12)/ReuFilterLifeShifts*ReuFilterPrice +(27-5)*ReuCleaningCost/12 +ROUNDUP((27-5)/FitTestIntervalMonths,0)*(FitTestCost+FitTestLostHours*HourlyWage) +TrainingCost*(27-5)/(12*TenureYears) +SurveillanceCost*(27-5)/12 )*(1+AdminOverhead) +IF(UPPER(RiskLineOn)="ON",RiskProbReu*RiskEventCost*(27-5)/12,0)</f>
        <v>554.9041666666667</v>
      </c>
      <c r="E27" s="35">
        <f>C27-D27</f>
        <v>1091.184722222222</v>
      </c>
      <c r="F27" s="36" t="str">
        <f>IF(27=5,"",IF(D27&lt;=C27,"yes","no"))</f>
        <v>yes</v>
      </c>
      <c r="N27" s="35">
        <f>IF((27-5)=BreakEvenMonth,D27,NA())</f>
        <v>0</v>
      </c>
    </row>
    <row r="28" spans="2:14">
      <c r="B28" s="34">
        <v>23</v>
      </c>
      <c r="C28" s="35">
        <f>( (28-5)*(WorkingDays/12)*DispMasksPerShift*(DispUnitPrice+DispDisposalCost) +ROUNDUP((28-5)/FitTestIntervalMonths,0)*(FitTestCost+FitTestLostHours*HourlyWage) +TrainingCost*(28-5)/(12*TenureYears) +SurveillanceCost*(28-5)/12 )*(1+AdminOverhead) +IF(UPPER(RiskLineOn)="ON",RiskProbDisp*RiskEventCost*(28-5)/12,0)</f>
        <v>1716.0611111111111</v>
      </c>
      <c r="D28" s="35">
        <f>( (28-5)*ReuMaskCost/(ReuMaskLifetimeYears*12) +(28-5)*(WorkingDays/12)/ReuFilterLifeShifts*ReuFilterPrice +(28-5)*ReuCleaningCost/12 +ROUNDUP((28-5)/FitTestIntervalMonths,0)*(FitTestCost+FitTestLostHours*HourlyWage) +TrainingCost*(28-5)/(12*TenureYears) +SurveillanceCost*(28-5)/12 )*(1+AdminOverhead) +IF(UPPER(RiskLineOn)="ON",RiskProbReu*RiskEventCost*(28-5)/12,0)</f>
        <v>575.2770833333333</v>
      </c>
      <c r="E28" s="35">
        <f>C28-D28</f>
        <v>1140.7840277777777</v>
      </c>
      <c r="F28" s="36" t="str">
        <f>IF(28=5,"",IF(D28&lt;=C28,"yes","no"))</f>
        <v>yes</v>
      </c>
      <c r="N28" s="35">
        <f>IF((28-5)=BreakEvenMonth,D28,NA())</f>
        <v>0</v>
      </c>
    </row>
    <row r="29" spans="2:14">
      <c r="B29" s="34">
        <v>24</v>
      </c>
      <c r="C29" s="35">
        <f>( (29-5)*(WorkingDays/12)*DispMasksPerShift*(DispUnitPrice+DispDisposalCost) +ROUNDUP((29-5)/FitTestIntervalMonths,0)*(FitTestCost+FitTestLostHours*HourlyWage) +TrainingCost*(29-5)/(12*TenureYears) +SurveillanceCost*(29-5)/12 )*(1+AdminOverhead) +IF(UPPER(RiskLineOn)="ON",RiskProbDisp*RiskEventCost*(29-5)/12,0)</f>
        <v>1786.0333333333333</v>
      </c>
      <c r="D29" s="35">
        <f>( (29-5)*ReuMaskCost/(ReuMaskLifetimeYears*12) +(29-5)*(WorkingDays/12)/ReuFilterLifeShifts*ReuFilterPrice +(29-5)*ReuCleaningCost/12 +ROUNDUP((29-5)/FitTestIntervalMonths,0)*(FitTestCost+FitTestLostHours*HourlyWage) +TrainingCost*(29-5)/(12*TenureYears) +SurveillanceCost*(29-5)/12 )*(1+AdminOverhead) +IF(UPPER(RiskLineOn)="ON",RiskProbReu*RiskEventCost*(29-5)/12,0)</f>
        <v>595.65</v>
      </c>
      <c r="E29" s="35">
        <f>C29-D29</f>
        <v>1190.3833333333332</v>
      </c>
      <c r="F29" s="36" t="str">
        <f>IF(29=5,"",IF(D29&lt;=C29,"yes","no"))</f>
        <v>yes</v>
      </c>
      <c r="N29" s="35">
        <f>IF((29-5)=BreakEvenMonth,D29,NA())</f>
        <v>0</v>
      </c>
    </row>
    <row r="30" spans="2:14">
      <c r="B30" s="34">
        <v>25</v>
      </c>
      <c r="C30" s="35">
        <f>( (30-5)*(WorkingDays/12)*DispMasksPerShift*(DispUnitPrice+DispDisposalCost) +ROUNDUP((30-5)/FitTestIntervalMonths,0)*(FitTestCost+FitTestLostHours*HourlyWage) +TrainingCost*(30-5)/(12*TenureYears) +SurveillanceCost*(30-5)/12 )*(1+AdminOverhead) +IF(UPPER(RiskLineOn)="ON",RiskProbDisp*RiskEventCost*(30-5)/12,0)</f>
        <v>1962.7055555555557</v>
      </c>
      <c r="D30" s="35">
        <f>( (30-5)*ReuMaskCost/(ReuMaskLifetimeYears*12) +(30-5)*(WorkingDays/12)/ReuFilterLifeShifts*ReuFilterPrice +(30-5)*ReuCleaningCost/12 +ROUNDUP((30-5)/FitTestIntervalMonths,0)*(FitTestCost+FitTestLostHours*HourlyWage) +TrainingCost*(30-5)/(12*TenureYears) +SurveillanceCost*(30-5)/12 )*(1+AdminOverhead) +IF(UPPER(RiskLineOn)="ON",RiskProbReu*RiskEventCost*(30-5)/12,0)</f>
        <v>722.7229166666668</v>
      </c>
      <c r="E30" s="35">
        <f>C30-D30</f>
        <v>1239.982638888889</v>
      </c>
      <c r="F30" s="36" t="str">
        <f>IF(30=5,"",IF(D30&lt;=C30,"yes","no"))</f>
        <v>yes</v>
      </c>
      <c r="N30" s="35">
        <f>IF((30-5)=BreakEvenMonth,D30,NA())</f>
        <v>0</v>
      </c>
    </row>
    <row r="31" spans="2:14">
      <c r="B31" s="34">
        <v>26</v>
      </c>
      <c r="C31" s="35">
        <f>( (31-5)*(WorkingDays/12)*DispMasksPerShift*(DispUnitPrice+DispDisposalCost) +ROUNDUP((31-5)/FitTestIntervalMonths,0)*(FitTestCost+FitTestLostHours*HourlyWage) +TrainingCost*(31-5)/(12*TenureYears) +SurveillanceCost*(31-5)/12 )*(1+AdminOverhead) +IF(UPPER(RiskLineOn)="ON",RiskProbDisp*RiskEventCost*(31-5)/12,0)</f>
        <v>2032.677777777778</v>
      </c>
      <c r="D31" s="35">
        <f>( (31-5)*ReuMaskCost/(ReuMaskLifetimeYears*12) +(31-5)*(WorkingDays/12)/ReuFilterLifeShifts*ReuFilterPrice +(31-5)*ReuCleaningCost/12 +ROUNDUP((31-5)/FitTestIntervalMonths,0)*(FitTestCost+FitTestLostHours*HourlyWage) +TrainingCost*(31-5)/(12*TenureYears) +SurveillanceCost*(31-5)/12 )*(1+AdminOverhead) +IF(UPPER(RiskLineOn)="ON",RiskProbReu*RiskEventCost*(31-5)/12,0)</f>
        <v>743.0958333333334</v>
      </c>
      <c r="E31" s="35">
        <f>C31-D31</f>
        <v>1289.5819444444446</v>
      </c>
      <c r="F31" s="36" t="str">
        <f>IF(31=5,"",IF(D31&lt;=C31,"yes","no"))</f>
        <v>yes</v>
      </c>
      <c r="N31" s="35">
        <f>IF((31-5)=BreakEvenMonth,D31,NA())</f>
        <v>0</v>
      </c>
    </row>
    <row r="32" spans="2:14">
      <c r="B32" s="34">
        <v>27</v>
      </c>
      <c r="C32" s="35">
        <f>( (32-5)*(WorkingDays/12)*DispMasksPerShift*(DispUnitPrice+DispDisposalCost) +ROUNDUP((32-5)/FitTestIntervalMonths,0)*(FitTestCost+FitTestLostHours*HourlyWage) +TrainingCost*(32-5)/(12*TenureYears) +SurveillanceCost*(32-5)/12 )*(1+AdminOverhead) +IF(UPPER(RiskLineOn)="ON",RiskProbDisp*RiskEventCost*(32-5)/12,0)</f>
        <v>2102.65</v>
      </c>
      <c r="D32" s="35">
        <f>( (32-5)*ReuMaskCost/(ReuMaskLifetimeYears*12) +(32-5)*(WorkingDays/12)/ReuFilterLifeShifts*ReuFilterPrice +(32-5)*ReuCleaningCost/12 +ROUNDUP((32-5)/FitTestIntervalMonths,0)*(FitTestCost+FitTestLostHours*HourlyWage) +TrainingCost*(32-5)/(12*TenureYears) +SurveillanceCost*(32-5)/12 )*(1+AdminOverhead) +IF(UPPER(RiskLineOn)="ON",RiskProbReu*RiskEventCost*(32-5)/12,0)</f>
        <v>763.46875</v>
      </c>
      <c r="E32" s="35">
        <f>C32-D32</f>
        <v>1339.18125</v>
      </c>
      <c r="F32" s="36" t="str">
        <f>IF(32=5,"",IF(D32&lt;=C32,"yes","no"))</f>
        <v>yes</v>
      </c>
      <c r="N32" s="35">
        <f>IF((32-5)=BreakEvenMonth,D32,NA())</f>
        <v>0</v>
      </c>
    </row>
    <row r="33" spans="2:15">
      <c r="B33" s="34">
        <v>28</v>
      </c>
      <c r="C33" s="35">
        <f>( (33-5)*(WorkingDays/12)*DispMasksPerShift*(DispUnitPrice+DispDisposalCost) +ROUNDUP((33-5)/FitTestIntervalMonths,0)*(FitTestCost+FitTestLostHours*HourlyWage) +TrainingCost*(33-5)/(12*TenureYears) +SurveillanceCost*(33-5)/12 )*(1+AdminOverhead) +IF(UPPER(RiskLineOn)="ON",RiskProbDisp*RiskEventCost*(33-5)/12,0)</f>
        <v>2172.6222222222223</v>
      </c>
      <c r="D33" s="35">
        <f>( (33-5)*ReuMaskCost/(ReuMaskLifetimeYears*12) +(33-5)*(WorkingDays/12)/ReuFilterLifeShifts*ReuFilterPrice +(33-5)*ReuCleaningCost/12 +ROUNDUP((33-5)/FitTestIntervalMonths,0)*(FitTestCost+FitTestLostHours*HourlyWage) +TrainingCost*(33-5)/(12*TenureYears) +SurveillanceCost*(33-5)/12 )*(1+AdminOverhead) +IF(UPPER(RiskLineOn)="ON",RiskProbReu*RiskEventCost*(33-5)/12,0)</f>
        <v>783.8416666666666</v>
      </c>
      <c r="E33" s="35">
        <f>C33-D33</f>
        <v>1388.7805555555556</v>
      </c>
      <c r="F33" s="36" t="str">
        <f>IF(33=5,"",IF(D33&lt;=C33,"yes","no"))</f>
        <v>yes</v>
      </c>
      <c r="N33" s="35">
        <f>IF((33-5)=BreakEvenMonth,D33,NA())</f>
        <v>0</v>
      </c>
    </row>
    <row r="34" spans="2:15">
      <c r="B34" s="34">
        <v>29</v>
      </c>
      <c r="C34" s="35">
        <f>( (34-5)*(WorkingDays/12)*DispMasksPerShift*(DispUnitPrice+DispDisposalCost) +ROUNDUP((34-5)/FitTestIntervalMonths,0)*(FitTestCost+FitTestLostHours*HourlyWage) +TrainingCost*(34-5)/(12*TenureYears) +SurveillanceCost*(34-5)/12 )*(1+AdminOverhead) +IF(UPPER(RiskLineOn)="ON",RiskProbDisp*RiskEventCost*(34-5)/12,0)</f>
        <v>2242.5944444444444</v>
      </c>
      <c r="D34" s="35">
        <f>( (34-5)*ReuMaskCost/(ReuMaskLifetimeYears*12) +(34-5)*(WorkingDays/12)/ReuFilterLifeShifts*ReuFilterPrice +(34-5)*ReuCleaningCost/12 +ROUNDUP((34-5)/FitTestIntervalMonths,0)*(FitTestCost+FitTestLostHours*HourlyWage) +TrainingCost*(34-5)/(12*TenureYears) +SurveillanceCost*(34-5)/12 )*(1+AdminOverhead) +IF(UPPER(RiskLineOn)="ON",RiskProbReu*RiskEventCost*(34-5)/12,0)</f>
        <v>804.2145833333332</v>
      </c>
      <c r="E34" s="35">
        <f>C34-D34</f>
        <v>1438.3798611111113</v>
      </c>
      <c r="F34" s="36" t="str">
        <f>IF(34=5,"",IF(D34&lt;=C34,"yes","no"))</f>
        <v>yes</v>
      </c>
      <c r="N34" s="35">
        <f>IF((34-5)=BreakEvenMonth,D34,NA())</f>
        <v>0</v>
      </c>
    </row>
    <row r="35" spans="2:15">
      <c r="B35" s="34">
        <v>30</v>
      </c>
      <c r="C35" s="35">
        <f>( (35-5)*(WorkingDays/12)*DispMasksPerShift*(DispUnitPrice+DispDisposalCost) +ROUNDUP((35-5)/FitTestIntervalMonths,0)*(FitTestCost+FitTestLostHours*HourlyWage) +TrainingCost*(35-5)/(12*TenureYears) +SurveillanceCost*(35-5)/12 )*(1+AdminOverhead) +IF(UPPER(RiskLineOn)="ON",RiskProbDisp*RiskEventCost*(35-5)/12,0)</f>
        <v>2312.566666666666</v>
      </c>
      <c r="D35" s="35">
        <f>( (35-5)*ReuMaskCost/(ReuMaskLifetimeYears*12) +(35-5)*(WorkingDays/12)/ReuFilterLifeShifts*ReuFilterPrice +(35-5)*ReuCleaningCost/12 +ROUNDUP((35-5)/FitTestIntervalMonths,0)*(FitTestCost+FitTestLostHours*HourlyWage) +TrainingCost*(35-5)/(12*TenureYears) +SurveillanceCost*(35-5)/12 )*(1+AdminOverhead) +IF(UPPER(RiskLineOn)="ON",RiskProbReu*RiskEventCost*(35-5)/12,0)</f>
        <v>824.5875000000001</v>
      </c>
      <c r="E35" s="35">
        <f>C35-D35</f>
        <v>1487.979166666666</v>
      </c>
      <c r="F35" s="36" t="str">
        <f>IF(35=5,"",IF(D35&lt;=C35,"yes","no"))</f>
        <v>yes</v>
      </c>
      <c r="N35" s="35">
        <f>IF((35-5)=BreakEvenMonth,D35,NA())</f>
        <v>0</v>
      </c>
    </row>
    <row r="36" spans="2:15">
      <c r="B36" s="34">
        <v>31</v>
      </c>
      <c r="C36" s="35">
        <f>( (36-5)*(WorkingDays/12)*DispMasksPerShift*(DispUnitPrice+DispDisposalCost) +ROUNDUP((36-5)/FitTestIntervalMonths,0)*(FitTestCost+FitTestLostHours*HourlyWage) +TrainingCost*(36-5)/(12*TenureYears) +SurveillanceCost*(36-5)/12 )*(1+AdminOverhead) +IF(UPPER(RiskLineOn)="ON",RiskProbDisp*RiskEventCost*(36-5)/12,0)</f>
        <v>2382.538888888889</v>
      </c>
      <c r="D36" s="35">
        <f>( (36-5)*ReuMaskCost/(ReuMaskLifetimeYears*12) +(36-5)*(WorkingDays/12)/ReuFilterLifeShifts*ReuFilterPrice +(36-5)*ReuCleaningCost/12 +ROUNDUP((36-5)/FitTestIntervalMonths,0)*(FitTestCost+FitTestLostHours*HourlyWage) +TrainingCost*(36-5)/(12*TenureYears) +SurveillanceCost*(36-5)/12 )*(1+AdminOverhead) +IF(UPPER(RiskLineOn)="ON",RiskProbReu*RiskEventCost*(36-5)/12,0)</f>
        <v>844.9604166666667</v>
      </c>
      <c r="E36" s="35">
        <f>C36-D36</f>
        <v>1537.578472222222</v>
      </c>
      <c r="F36" s="36" t="str">
        <f>IF(36=5,"",IF(D36&lt;=C36,"yes","no"))</f>
        <v>yes</v>
      </c>
      <c r="N36" s="35">
        <f>IF((36-5)=BreakEvenMonth,D36,NA())</f>
        <v>0</v>
      </c>
    </row>
    <row r="37" spans="2:15">
      <c r="B37" s="34">
        <v>32</v>
      </c>
      <c r="C37" s="35">
        <f>( (37-5)*(WorkingDays/12)*DispMasksPerShift*(DispUnitPrice+DispDisposalCost) +ROUNDUP((37-5)/FitTestIntervalMonths,0)*(FitTestCost+FitTestLostHours*HourlyWage) +TrainingCost*(37-5)/(12*TenureYears) +SurveillanceCost*(37-5)/12 )*(1+AdminOverhead) +IF(UPPER(RiskLineOn)="ON",RiskProbDisp*RiskEventCost*(37-5)/12,0)</f>
        <v>2452.5111111111114</v>
      </c>
      <c r="D37" s="35">
        <f>( (37-5)*ReuMaskCost/(ReuMaskLifetimeYears*12) +(37-5)*(WorkingDays/12)/ReuFilterLifeShifts*ReuFilterPrice +(37-5)*ReuCleaningCost/12 +ROUNDUP((37-5)/FitTestIntervalMonths,0)*(FitTestCost+FitTestLostHours*HourlyWage) +TrainingCost*(37-5)/(12*TenureYears) +SurveillanceCost*(37-5)/12 )*(1+AdminOverhead) +IF(UPPER(RiskLineOn)="ON",RiskProbReu*RiskEventCost*(37-5)/12,0)</f>
        <v>865.3333333333333</v>
      </c>
      <c r="E37" s="35">
        <f>C37-D37</f>
        <v>1587.1777777777781</v>
      </c>
      <c r="F37" s="36" t="str">
        <f>IF(37=5,"",IF(D37&lt;=C37,"yes","no"))</f>
        <v>yes</v>
      </c>
      <c r="N37" s="35">
        <f>IF((37-5)=BreakEvenMonth,D37,NA())</f>
        <v>0</v>
      </c>
    </row>
    <row r="38" spans="2:15">
      <c r="B38" s="34">
        <v>33</v>
      </c>
      <c r="C38" s="35">
        <f>( (38-5)*(WorkingDays/12)*DispMasksPerShift*(DispUnitPrice+DispDisposalCost) +ROUNDUP((38-5)/FitTestIntervalMonths,0)*(FitTestCost+FitTestLostHours*HourlyWage) +TrainingCost*(38-5)/(12*TenureYears) +SurveillanceCost*(38-5)/12 )*(1+AdminOverhead) +IF(UPPER(RiskLineOn)="ON",RiskProbDisp*RiskEventCost*(38-5)/12,0)</f>
        <v>2522.483333333333</v>
      </c>
      <c r="D38" s="35">
        <f>( (38-5)*ReuMaskCost/(ReuMaskLifetimeYears*12) +(38-5)*(WorkingDays/12)/ReuFilterLifeShifts*ReuFilterPrice +(38-5)*ReuCleaningCost/12 +ROUNDUP((38-5)/FitTestIntervalMonths,0)*(FitTestCost+FitTestLostHours*HourlyWage) +TrainingCost*(38-5)/(12*TenureYears) +SurveillanceCost*(38-5)/12 )*(1+AdminOverhead) +IF(UPPER(RiskLineOn)="ON",RiskProbReu*RiskEventCost*(38-5)/12,0)</f>
        <v>885.7062499999998</v>
      </c>
      <c r="E38" s="35">
        <f>C38-D38</f>
        <v>1636.7770833333334</v>
      </c>
      <c r="F38" s="36" t="str">
        <f>IF(38=5,"",IF(D38&lt;=C38,"yes","no"))</f>
        <v>yes</v>
      </c>
      <c r="N38" s="35">
        <f>IF((38-5)=BreakEvenMonth,D38,NA())</f>
        <v>0</v>
      </c>
    </row>
    <row r="39" spans="2:15">
      <c r="B39" s="34">
        <v>34</v>
      </c>
      <c r="C39" s="35">
        <f>( (39-5)*(WorkingDays/12)*DispMasksPerShift*(DispUnitPrice+DispDisposalCost) +ROUNDUP((39-5)/FitTestIntervalMonths,0)*(FitTestCost+FitTestLostHours*HourlyWage) +TrainingCost*(39-5)/(12*TenureYears) +SurveillanceCost*(39-5)/12 )*(1+AdminOverhead) +IF(UPPER(RiskLineOn)="ON",RiskProbDisp*RiskEventCost*(39-5)/12,0)</f>
        <v>2592.4555555555557</v>
      </c>
      <c r="D39" s="35">
        <f>( (39-5)*ReuMaskCost/(ReuMaskLifetimeYears*12) +(39-5)*(WorkingDays/12)/ReuFilterLifeShifts*ReuFilterPrice +(39-5)*ReuCleaningCost/12 +ROUNDUP((39-5)/FitTestIntervalMonths,0)*(FitTestCost+FitTestLostHours*HourlyWage) +TrainingCost*(39-5)/(12*TenureYears) +SurveillanceCost*(39-5)/12 )*(1+AdminOverhead) +IF(UPPER(RiskLineOn)="ON",RiskProbReu*RiskEventCost*(39-5)/12,0)</f>
        <v>906.0791666666669</v>
      </c>
      <c r="E39" s="35">
        <f>C39-D39</f>
        <v>1686.3763888888889</v>
      </c>
      <c r="F39" s="36" t="str">
        <f>IF(39=5,"",IF(D39&lt;=C39,"yes","no"))</f>
        <v>yes</v>
      </c>
      <c r="N39" s="35">
        <f>IF((39-5)=BreakEvenMonth,D39,NA())</f>
        <v>0</v>
      </c>
    </row>
    <row r="40" spans="2:15">
      <c r="B40" s="34">
        <v>35</v>
      </c>
      <c r="C40" s="35">
        <f>( (40-5)*(WorkingDays/12)*DispMasksPerShift*(DispUnitPrice+DispDisposalCost) +ROUNDUP((40-5)/FitTestIntervalMonths,0)*(FitTestCost+FitTestLostHours*HourlyWage) +TrainingCost*(40-5)/(12*TenureYears) +SurveillanceCost*(40-5)/12 )*(1+AdminOverhead) +IF(UPPER(RiskLineOn)="ON",RiskProbDisp*RiskEventCost*(40-5)/12,0)</f>
        <v>2662.4277777777775</v>
      </c>
      <c r="D40" s="35">
        <f>( (40-5)*ReuMaskCost/(ReuMaskLifetimeYears*12) +(40-5)*(WorkingDays/12)/ReuFilterLifeShifts*ReuFilterPrice +(40-5)*ReuCleaningCost/12 +ROUNDUP((40-5)/FitTestIntervalMonths,0)*(FitTestCost+FitTestLostHours*HourlyWage) +TrainingCost*(40-5)/(12*TenureYears) +SurveillanceCost*(40-5)/12 )*(1+AdminOverhead) +IF(UPPER(RiskLineOn)="ON",RiskProbReu*RiskEventCost*(40-5)/12,0)</f>
        <v>926.4520833333335</v>
      </c>
      <c r="E40" s="35">
        <f>C40-D40</f>
        <v>1735.975694444444</v>
      </c>
      <c r="F40" s="36" t="str">
        <f>IF(40=5,"",IF(D40&lt;=C40,"yes","no"))</f>
        <v>yes</v>
      </c>
      <c r="N40" s="35">
        <f>IF((40-5)=BreakEvenMonth,D40,NA())</f>
        <v>0</v>
      </c>
    </row>
    <row r="41" spans="2:15">
      <c r="B41" s="34">
        <v>36</v>
      </c>
      <c r="C41" s="35">
        <f>( (41-5)*(WorkingDays/12)*DispMasksPerShift*(DispUnitPrice+DispDisposalCost) +ROUNDUP((41-5)/FitTestIntervalMonths,0)*(FitTestCost+FitTestLostHours*HourlyWage) +TrainingCost*(41-5)/(12*TenureYears) +SurveillanceCost*(41-5)/12 )*(1+AdminOverhead) +IF(UPPER(RiskLineOn)="ON",RiskProbDisp*RiskEventCost*(41-5)/12,0)</f>
        <v>2732.4</v>
      </c>
      <c r="D41" s="35">
        <f>( (41-5)*ReuMaskCost/(ReuMaskLifetimeYears*12) +(41-5)*(WorkingDays/12)/ReuFilterLifeShifts*ReuFilterPrice +(41-5)*ReuCleaningCost/12 +ROUNDUP((41-5)/FitTestIntervalMonths,0)*(FitTestCost+FitTestLostHours*HourlyWage) +TrainingCost*(41-5)/(12*TenureYears) +SurveillanceCost*(41-5)/12 )*(1+AdminOverhead) +IF(UPPER(RiskLineOn)="ON",RiskProbReu*RiskEventCost*(41-5)/12,0)</f>
        <v>946.825</v>
      </c>
      <c r="E41" s="35">
        <f>C41-D41</f>
        <v>1785.575</v>
      </c>
      <c r="F41" s="36" t="str">
        <f>IF(41=5,"",IF(D41&lt;=C41,"yes","no"))</f>
        <v>yes</v>
      </c>
      <c r="N41" s="35">
        <f>IF((41-5)=BreakEvenMonth,D41,NA())</f>
        <v>0</v>
      </c>
    </row>
    <row r="43" spans="2:15">
      <c r="N43" s="3" t="s">
        <v>96</v>
      </c>
      <c r="O43" s="3"/>
    </row>
    <row r="44" spans="2:15">
      <c r="N44" s="37" t="s">
        <v>97</v>
      </c>
      <c r="O44" s="38">
        <f>SUM(H5:M5)</f>
        <v>2732.4</v>
      </c>
    </row>
    <row r="45" spans="2:15">
      <c r="N45" s="37" t="s">
        <v>98</v>
      </c>
      <c r="O45" s="38">
        <f>SUM(H6:M6)</f>
        <v>946.825</v>
      </c>
    </row>
    <row r="46" spans="2:15">
      <c r="N46" s="37" t="s">
        <v>99</v>
      </c>
      <c r="O46" s="39">
        <f>IFERROR(MATCH("yes",F5:F41,0)-1,37)</f>
        <v>1</v>
      </c>
    </row>
    <row r="47" spans="2:15">
      <c r="N47" s="37" t="s">
        <v>100</v>
      </c>
      <c r="O47" s="38">
        <f>DispThreeYrPerWorker-ReuThreeYrPerWorker</f>
        <v>1785.575</v>
      </c>
    </row>
    <row r="48" spans="2:15">
      <c r="N48" s="37" t="s">
        <v>101</v>
      </c>
      <c r="O48" s="40" t="str">
        <f>IF(CostDelta&gt;0,"Reusable",IF(CostDelta&lt;0,"Disposable","Tie"))</f>
        <v>Reusable</v>
      </c>
    </row>
    <row r="50" spans="2:15">
      <c r="B50" s="8" t="s">
        <v>102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</sheetData>
  <sheetProtection password="CB67" sheet="1" objects="1" scenarios="1"/>
  <mergeCells count="5">
    <mergeCell ref="A1:H1"/>
    <mergeCell ref="I1:O1"/>
    <mergeCell ref="B2:O2"/>
    <mergeCell ref="N43:O43"/>
    <mergeCell ref="B50:O5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17745F"/>
  </sheetPr>
  <dimension ref="A1:C26"/>
  <sheetViews>
    <sheetView showGridLines="0" workbookViewId="0">
      <pane ySplit="1" topLeftCell="A2" activePane="bottomLeft" state="frozen"/>
      <selection pane="bottomLeft" activeCell="B2" sqref="B2"/>
    </sheetView>
  </sheetViews>
  <sheetFormatPr defaultRowHeight="15"/>
  <cols>
    <col min="1" max="1" width="2.7109375" customWidth="1"/>
    <col min="2" max="2" width="22.7109375" customWidth="1"/>
    <col min="3" max="3" width="80.7109375" customWidth="1"/>
  </cols>
  <sheetData>
    <row r="1" spans="1:3" ht="48" customHeight="1">
      <c r="A1" s="1" t="s">
        <v>0</v>
      </c>
      <c r="B1" s="1"/>
      <c r="C1" s="2" t="s">
        <v>103</v>
      </c>
    </row>
    <row r="2" spans="1:3" ht="28" customHeight="1">
      <c r="B2" s="19" t="s">
        <v>104</v>
      </c>
      <c r="C2" s="19"/>
    </row>
    <row r="3" spans="1:3" ht="8" customHeight="1"/>
    <row r="4" spans="1:3">
      <c r="B4" s="41" t="s">
        <v>105</v>
      </c>
      <c r="C4" s="42" t="s">
        <v>106</v>
      </c>
    </row>
    <row r="5" spans="1:3">
      <c r="B5" s="41" t="s">
        <v>107</v>
      </c>
      <c r="C5" s="42" t="s">
        <v>108</v>
      </c>
    </row>
    <row r="6" spans="1:3">
      <c r="B6" s="41" t="s">
        <v>109</v>
      </c>
      <c r="C6" s="42" t="s">
        <v>110</v>
      </c>
    </row>
    <row r="7" spans="1:3">
      <c r="B7" s="41" t="s">
        <v>111</v>
      </c>
      <c r="C7" s="42" t="s">
        <v>112</v>
      </c>
    </row>
    <row r="8" spans="1:3">
      <c r="B8" s="41" t="s">
        <v>113</v>
      </c>
      <c r="C8" s="42" t="s">
        <v>114</v>
      </c>
    </row>
    <row r="9" spans="1:3">
      <c r="B9" s="41" t="s">
        <v>115</v>
      </c>
      <c r="C9" s="42" t="s">
        <v>116</v>
      </c>
    </row>
    <row r="10" spans="1:3">
      <c r="B10" s="41" t="s">
        <v>117</v>
      </c>
      <c r="C10" s="42" t="s">
        <v>118</v>
      </c>
    </row>
    <row r="12" spans="1:3">
      <c r="B12" s="3" t="s">
        <v>119</v>
      </c>
      <c r="C12" s="3"/>
    </row>
    <row r="13" spans="1:3">
      <c r="B13" s="41" t="s">
        <v>120</v>
      </c>
      <c r="C13" s="42" t="s">
        <v>121</v>
      </c>
    </row>
    <row r="14" spans="1:3">
      <c r="B14" s="41" t="s">
        <v>122</v>
      </c>
      <c r="C14" s="42" t="s">
        <v>123</v>
      </c>
    </row>
    <row r="15" spans="1:3">
      <c r="B15" s="41" t="s">
        <v>124</v>
      </c>
      <c r="C15" s="42" t="s">
        <v>125</v>
      </c>
    </row>
    <row r="16" spans="1:3">
      <c r="B16" s="41" t="s">
        <v>126</v>
      </c>
      <c r="C16" s="42" t="s">
        <v>127</v>
      </c>
    </row>
    <row r="18" spans="2:3">
      <c r="B18" s="3" t="s">
        <v>128</v>
      </c>
      <c r="C18" s="3"/>
    </row>
    <row r="19" spans="2:3">
      <c r="B19" s="41" t="s">
        <v>129</v>
      </c>
      <c r="C19" s="42" t="s">
        <v>130</v>
      </c>
    </row>
    <row r="20" spans="2:3">
      <c r="B20" s="41" t="s">
        <v>131</v>
      </c>
      <c r="C20" s="42" t="s">
        <v>132</v>
      </c>
    </row>
    <row r="21" spans="2:3">
      <c r="B21" s="41" t="s">
        <v>89</v>
      </c>
      <c r="C21" s="42" t="s">
        <v>133</v>
      </c>
    </row>
    <row r="22" spans="2:3">
      <c r="B22" s="41" t="s">
        <v>134</v>
      </c>
      <c r="C22" s="42" t="s">
        <v>135</v>
      </c>
    </row>
    <row r="23" spans="2:3">
      <c r="B23" s="41" t="s">
        <v>136</v>
      </c>
      <c r="C23" s="42" t="s">
        <v>137</v>
      </c>
    </row>
    <row r="26" spans="2:3">
      <c r="B26" s="9" t="s">
        <v>79</v>
      </c>
      <c r="C26" s="32" t="s">
        <v>15</v>
      </c>
    </row>
  </sheetData>
  <mergeCells count="4">
    <mergeCell ref="A1:B1"/>
    <mergeCell ref="B2:C2"/>
    <mergeCell ref="B12:C12"/>
    <mergeCell ref="B18:C18"/>
  </mergeCells>
  <hyperlinks>
    <hyperlink ref="C4" r:id="rId1" tooltip="https://www.bsif.co.uk/clean-air-rsss/"/>
    <hyperlink ref="C5" r:id="rId2" tooltip="https://resources.hse.gov.uk/notices/"/>
    <hyperlink ref="C6" r:id="rId3" tooltip="https://www.hse.gov.uk/pubns/books/hsg53.htm"/>
    <hyperlink ref="C7" r:id="rId4" tooltip="https://academic.oup.com/annweh"/>
    <hyperlink ref="C8" r:id="rId5" tooltip="https://www.supplychain.nhs.uk/"/>
    <hyperlink ref="C9" r:id="rId6" tooltip="https://www.shponline.co.uk/"/>
    <hyperlink ref="C10" r:id="rId7" tooltip="https://www.ioshmagazine.com/"/>
  </hyperlinks>
  <pageMargins left="0.7" right="0.7" top="0.75" bottom="0.75" header="0.3" footer="0.3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28</vt:i4>
      </vt:variant>
    </vt:vector>
  </HeadingPairs>
  <TitlesOfParts>
    <vt:vector size="33" baseType="lpstr">
      <vt:lpstr>Read me first</vt:lpstr>
      <vt:lpstr>Inputs</vt:lpstr>
      <vt:lpstr>Outputs</vt:lpstr>
      <vt:lpstr>Calculations</vt:lpstr>
      <vt:lpstr>Sources</vt:lpstr>
      <vt:lpstr>AdminOverhead</vt:lpstr>
      <vt:lpstr>BreakEvenMonth</vt:lpstr>
      <vt:lpstr>CostDelta</vt:lpstr>
      <vt:lpstr>DailyRPEHours</vt:lpstr>
      <vt:lpstr>DispDisposalCost</vt:lpstr>
      <vt:lpstr>DispMasksPerShift</vt:lpstr>
      <vt:lpstr>DispThreeYrPerWorker</vt:lpstr>
      <vt:lpstr>DispUnitPrice</vt:lpstr>
      <vt:lpstr>FitTestCost</vt:lpstr>
      <vt:lpstr>FitTestIntervalMonths</vt:lpstr>
      <vt:lpstr>FitTestLostHours</vt:lpstr>
      <vt:lpstr>Headcount</vt:lpstr>
      <vt:lpstr>HourlyWage</vt:lpstr>
      <vt:lpstr>ReuCleaningCost</vt:lpstr>
      <vt:lpstr>ReuFilterLifeShifts</vt:lpstr>
      <vt:lpstr>ReuFilterPrice</vt:lpstr>
      <vt:lpstr>ReuMaskCost</vt:lpstr>
      <vt:lpstr>ReuMaskLifetimeYears</vt:lpstr>
      <vt:lpstr>ReuThreeYrPerWorker</vt:lpstr>
      <vt:lpstr>RiskEventCost</vt:lpstr>
      <vt:lpstr>RiskLineOn</vt:lpstr>
      <vt:lpstr>RiskProbDisp</vt:lpstr>
      <vt:lpstr>RiskProbReu</vt:lpstr>
      <vt:lpstr>SurveillanceCost</vt:lpstr>
      <vt:lpstr>TenureYears</vt:lpstr>
      <vt:lpstr>TrainingCost</vt:lpstr>
      <vt:lpstr>WinnerLabel</vt:lpstr>
      <vt:lpstr>WorkingDays</vt:lpstr>
    </vt:vector>
  </TitlesOfParts>
  <Manager>pricinglogic@fastmail.com</Manager>
  <Company>The Face Mask Store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RPE Whole-Life Cost Calculator</dc:title>
  <dc:subject>Three-year cost per worker — disposable vs reusable RPE</dc:subject>
  <dc:creator>The Face Mask Store</dc:creator>
  <cp:keywords>RPE, COSHH, HSE, fit-test, procurement, UK, PPE</cp:keywords>
  <dc:description>Free planning tool for UK procurement and HSE teams.
Generated from tools/xlsx/workbook-spec.yaml by build-xlsx.py.
</dc:description>
  <cp:lastModifiedBy>The Face Mask Store</cp:lastModifiedBy>
  <dcterms:created xsi:type="dcterms:W3CDTF">2026-05-20T11:11:48Z</dcterms:created>
  <dcterms:modified xsi:type="dcterms:W3CDTF">2026-05-20T11:11:48Z</dcterms:modified>
  <cp:category>Procurement / HSE planning</cp:category>
</cp:coreProperties>
</file>